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diyana\Desktop\Crime Stats 2019\Jadual\"/>
    </mc:Choice>
  </mc:AlternateContent>
  <bookViews>
    <workbookView xWindow="-15" yWindow="-15" windowWidth="10245" windowHeight="8175" tabRatio="611" activeTab="48"/>
  </bookViews>
  <sheets>
    <sheet name=" 1.1" sheetId="108" r:id="rId1"/>
    <sheet name=" 1.2" sheetId="111" r:id="rId2"/>
    <sheet name="1.3Joh" sheetId="55" r:id="rId3"/>
    <sheet name="1.3Ked" sheetId="56" r:id="rId4"/>
    <sheet name="1.3Kel" sheetId="57" r:id="rId5"/>
    <sheet name="1.3Mel &amp; N9" sheetId="58" r:id="rId6"/>
    <sheet name="1.3Phg" sheetId="59" r:id="rId7"/>
    <sheet name="1.3Prk" sheetId="46" r:id="rId8"/>
    <sheet name="1.3Pls_PP" sheetId="47" r:id="rId9"/>
    <sheet name="1.3Sbh" sheetId="63" r:id="rId10"/>
    <sheet name="1.3Sbh (2)" sheetId="64" r:id="rId11"/>
    <sheet name="1.3Swk" sheetId="69" r:id="rId12"/>
    <sheet name="1.3Swk (2)" sheetId="70" r:id="rId13"/>
    <sheet name="1.3Swk (3)" sheetId="71" r:id="rId14"/>
    <sheet name="1.3Sel" sheetId="72" r:id="rId15"/>
    <sheet name="1.3Trg" sheetId="73" r:id="rId16"/>
    <sheet name="1.3WPKL" sheetId="74" r:id="rId17"/>
    <sheet name="1.4" sheetId="109" r:id="rId18"/>
    <sheet name="1.5Johor" sheetId="78" r:id="rId19"/>
    <sheet name="1.5Kedah" sheetId="79" r:id="rId20"/>
    <sheet name="1.5Kelantan" sheetId="80" r:id="rId21"/>
    <sheet name="1.5Melaka" sheetId="81" r:id="rId22"/>
    <sheet name="1.5Pahang" sheetId="82" r:id="rId23"/>
    <sheet name="1.5Perak" sheetId="83" r:id="rId24"/>
    <sheet name="1.5Perlis" sheetId="84" r:id="rId25"/>
    <sheet name="1.5Sabah" sheetId="85" r:id="rId26"/>
    <sheet name="1.5Sabah (2)" sheetId="86" r:id="rId27"/>
    <sheet name="1.5Sarawak" sheetId="87" r:id="rId28"/>
    <sheet name="1.5Sarawak (2)" sheetId="88" r:id="rId29"/>
    <sheet name="1.5Sarawak (3)" sheetId="89" r:id="rId30"/>
    <sheet name="1.5Selangor" sheetId="90" r:id="rId31"/>
    <sheet name="1.5Terengganu" sheetId="91" r:id="rId32"/>
    <sheet name="1.5W.P. KL" sheetId="92" r:id="rId33"/>
    <sheet name="1.6" sheetId="110" r:id="rId34"/>
    <sheet name="1.7Johor" sheetId="93" r:id="rId35"/>
    <sheet name="1.7Kedah" sheetId="94" r:id="rId36"/>
    <sheet name="1.7Kelantan" sheetId="95" r:id="rId37"/>
    <sheet name="1.7Melaka &amp; N9 " sheetId="96" r:id="rId38"/>
    <sheet name="1.7Pahang" sheetId="97" r:id="rId39"/>
    <sheet name="1.7Perak" sheetId="98" r:id="rId40"/>
    <sheet name="1.7Perlis &amp; PP " sheetId="99" r:id="rId41"/>
    <sheet name="1.7Sabah" sheetId="100" r:id="rId42"/>
    <sheet name="1.7Sabah (2)" sheetId="101" r:id="rId43"/>
    <sheet name="1.7Sarawak" sheetId="102" r:id="rId44"/>
    <sheet name="1.7Sarawak (2)" sheetId="103" r:id="rId45"/>
    <sheet name="1.7Sarawak (3)" sheetId="104" r:id="rId46"/>
    <sheet name="1.7Selangor" sheetId="105" r:id="rId47"/>
    <sheet name="1.7Terengganu" sheetId="106" r:id="rId48"/>
    <sheet name="1.7WPKL " sheetId="107" r:id="rId49"/>
  </sheets>
  <definedNames>
    <definedName name="_xlnm.Print_Area" localSheetId="2">'1.3Joh'!$A$1:$H$72</definedName>
    <definedName name="_xlnm.Print_Area" localSheetId="3">'1.3Ked'!$A$1:$H$60</definedName>
    <definedName name="_xlnm.Print_Area" localSheetId="4">'1.3Kel'!$A$1:$H$56</definedName>
    <definedName name="_xlnm.Print_Area" localSheetId="5">'1.3Mel &amp; N9'!$A$1:$H$65</definedName>
    <definedName name="_xlnm.Print_Area" localSheetId="6">'1.3Phg'!$A$1:$H$60</definedName>
    <definedName name="_xlnm.Print_Area" localSheetId="8">'1.3Pls_PP'!$A$1:$H$56</definedName>
    <definedName name="_xlnm.Print_Area" localSheetId="7">'1.3Prk'!$A$1:$H$76</definedName>
    <definedName name="_xlnm.Print_Area" localSheetId="14">'1.3Sel'!$A$1:$H$76</definedName>
    <definedName name="_xlnm.Print_Area" localSheetId="11">'1.3Swk'!$A$1:$H$50</definedName>
    <definedName name="_xlnm.Print_Area" localSheetId="12">'1.3Swk (2)'!$A$1:$H$54</definedName>
    <definedName name="_xlnm.Print_Area" localSheetId="13">'1.3Swk (3)'!$A$1:$H$54</definedName>
    <definedName name="_xlnm.Print_Area" localSheetId="15">'1.3Trg'!$A$1:$H$46</definedName>
    <definedName name="_xlnm.Print_Area" localSheetId="16">'1.3WPKL'!$A$1:$H$43</definedName>
    <definedName name="_xlnm.Print_Area" localSheetId="21">'1.5Melaka'!$A$1:$N$69</definedName>
    <definedName name="_xlnm.Print_Area" localSheetId="35">'1.7Kedah'!$A$1:$L$62</definedName>
    <definedName name="_xlnm.Print_Area" localSheetId="39">'1.7Perak'!$A$1:$L$78</definedName>
    <definedName name="_xlnm.Print_Area" localSheetId="43">'1.7Sarawak'!$A$1:$L$50</definedName>
  </definedNames>
  <calcPr calcId="152511" calcMode="manual"/>
</workbook>
</file>

<file path=xl/calcChain.xml><?xml version="1.0" encoding="utf-8"?>
<calcChain xmlns="http://schemas.openxmlformats.org/spreadsheetml/2006/main">
  <c r="G12" i="108" l="1"/>
  <c r="F12" i="59"/>
  <c r="F12" i="108"/>
  <c r="E12" i="108" s="1"/>
  <c r="G11" i="59"/>
  <c r="G12" i="59"/>
  <c r="G13" i="59"/>
  <c r="F13" i="59"/>
  <c r="F11" i="59"/>
  <c r="E60" i="82"/>
  <c r="E56" i="82"/>
  <c r="E52" i="82"/>
  <c r="E48" i="82"/>
  <c r="E44" i="82"/>
  <c r="E20" i="82"/>
  <c r="F28" i="47"/>
  <c r="F29" i="47"/>
  <c r="F30" i="47"/>
  <c r="E35" i="85"/>
  <c r="E58" i="86"/>
  <c r="G11" i="72"/>
  <c r="G12" i="72"/>
  <c r="G13" i="72"/>
  <c r="F12" i="72"/>
  <c r="F13" i="72"/>
  <c r="F11" i="72"/>
  <c r="E19" i="90"/>
  <c r="E48" i="111"/>
  <c r="E48" i="108"/>
  <c r="E36" i="111"/>
  <c r="E36" i="108"/>
  <c r="E38" i="109"/>
  <c r="E61" i="111"/>
  <c r="E19" i="86"/>
  <c r="L15" i="109"/>
  <c r="K15" i="109"/>
  <c r="L14" i="109"/>
  <c r="K14" i="109"/>
  <c r="L13" i="109"/>
  <c r="K13" i="109"/>
  <c r="I15" i="109"/>
  <c r="H15" i="109"/>
  <c r="I14" i="109"/>
  <c r="H14" i="109"/>
  <c r="I13" i="109"/>
  <c r="H13" i="109"/>
  <c r="K16" i="90"/>
  <c r="L17" i="92"/>
  <c r="K17" i="92"/>
  <c r="L16" i="92"/>
  <c r="L15" i="92"/>
  <c r="K15" i="92"/>
  <c r="I17" i="92"/>
  <c r="H17" i="92"/>
  <c r="I16" i="92"/>
  <c r="H16" i="92"/>
  <c r="I15" i="92"/>
  <c r="H15" i="92"/>
  <c r="L17" i="91"/>
  <c r="K17" i="91"/>
  <c r="L16" i="91"/>
  <c r="L15" i="91"/>
  <c r="K15" i="91"/>
  <c r="I17" i="91"/>
  <c r="H17" i="91"/>
  <c r="I16" i="91"/>
  <c r="I15" i="91"/>
  <c r="L17" i="90"/>
  <c r="K17" i="90"/>
  <c r="L16" i="90"/>
  <c r="L15" i="90"/>
  <c r="K15" i="90"/>
  <c r="I17" i="90"/>
  <c r="H17" i="90"/>
  <c r="I16" i="90"/>
  <c r="H16" i="90"/>
  <c r="I15" i="90"/>
  <c r="H15" i="90"/>
  <c r="L17" i="87"/>
  <c r="L16" i="87"/>
  <c r="K16" i="87"/>
  <c r="L15" i="87"/>
  <c r="K15" i="87"/>
  <c r="I17" i="87"/>
  <c r="H17" i="87"/>
  <c r="I16" i="87"/>
  <c r="H16" i="87"/>
  <c r="I15" i="87"/>
  <c r="H15" i="87"/>
  <c r="L17" i="85"/>
  <c r="L16" i="85"/>
  <c r="L15" i="85"/>
  <c r="I17" i="85"/>
  <c r="H17" i="85"/>
  <c r="I16" i="85"/>
  <c r="I15" i="85"/>
  <c r="H15" i="85"/>
  <c r="M33" i="84"/>
  <c r="M32" i="84"/>
  <c r="L34" i="84"/>
  <c r="K34" i="84"/>
  <c r="L33" i="84"/>
  <c r="L32" i="84"/>
  <c r="K32" i="84"/>
  <c r="I34" i="84"/>
  <c r="I33" i="84"/>
  <c r="I32" i="84"/>
  <c r="H32" i="84"/>
  <c r="M17" i="84"/>
  <c r="M16" i="84"/>
  <c r="M15" i="84"/>
  <c r="L17" i="84"/>
  <c r="L16" i="84"/>
  <c r="L15" i="84"/>
  <c r="I17" i="84"/>
  <c r="I16" i="84"/>
  <c r="I15" i="84"/>
  <c r="G16" i="84"/>
  <c r="G17" i="84"/>
  <c r="G15" i="84"/>
  <c r="M17" i="83"/>
  <c r="M16" i="83"/>
  <c r="M15" i="83"/>
  <c r="L17" i="83"/>
  <c r="K17" i="83"/>
  <c r="L16" i="83"/>
  <c r="L15" i="83"/>
  <c r="K15" i="83"/>
  <c r="I17" i="83"/>
  <c r="H17" i="83"/>
  <c r="I16" i="83"/>
  <c r="H16" i="83"/>
  <c r="I15" i="83"/>
  <c r="H15" i="83"/>
  <c r="G17" i="83"/>
  <c r="G16" i="83"/>
  <c r="G15" i="83"/>
  <c r="F16" i="83"/>
  <c r="F17" i="83"/>
  <c r="F15" i="83"/>
  <c r="L17" i="82"/>
  <c r="L16" i="82"/>
  <c r="L15" i="82"/>
  <c r="K15" i="82"/>
  <c r="I17" i="82"/>
  <c r="H17" i="82"/>
  <c r="I16" i="82"/>
  <c r="H16" i="82"/>
  <c r="I15" i="82"/>
  <c r="L34" i="81"/>
  <c r="K34" i="81"/>
  <c r="L33" i="81"/>
  <c r="L32" i="81"/>
  <c r="K32" i="81"/>
  <c r="I34" i="81"/>
  <c r="I33" i="81"/>
  <c r="H33" i="81"/>
  <c r="I32" i="81"/>
  <c r="H32" i="81"/>
  <c r="L17" i="81"/>
  <c r="L16" i="81"/>
  <c r="L15" i="81"/>
  <c r="I17" i="81"/>
  <c r="H17" i="81"/>
  <c r="I16" i="81"/>
  <c r="H16" i="81"/>
  <c r="I15" i="81"/>
  <c r="H15" i="81"/>
  <c r="L17" i="80"/>
  <c r="L16" i="80"/>
  <c r="L15" i="80"/>
  <c r="K15" i="80"/>
  <c r="I17" i="80"/>
  <c r="H17" i="80"/>
  <c r="I16" i="80"/>
  <c r="H16" i="80"/>
  <c r="I15" i="80"/>
  <c r="H15" i="80"/>
  <c r="L17" i="79"/>
  <c r="L16" i="79"/>
  <c r="L15" i="79"/>
  <c r="K15" i="79"/>
  <c r="I17" i="79"/>
  <c r="I16" i="79"/>
  <c r="I15" i="79"/>
  <c r="H17" i="79"/>
  <c r="H16" i="79"/>
  <c r="H15" i="79"/>
  <c r="L17" i="78"/>
  <c r="L16" i="78"/>
  <c r="L15" i="78"/>
  <c r="K15" i="78"/>
  <c r="I17" i="78"/>
  <c r="I16" i="78"/>
  <c r="I15" i="78"/>
  <c r="H17" i="78"/>
  <c r="H16" i="78"/>
  <c r="H15" i="78"/>
  <c r="E69" i="111"/>
  <c r="E68" i="111"/>
  <c r="E67" i="111"/>
  <c r="E65" i="111"/>
  <c r="E64" i="111"/>
  <c r="E63" i="111"/>
  <c r="E60" i="111"/>
  <c r="E59" i="111"/>
  <c r="E57" i="111"/>
  <c r="E56" i="111"/>
  <c r="E55" i="111"/>
  <c r="E53" i="111"/>
  <c r="E52" i="111"/>
  <c r="E51" i="111"/>
  <c r="E49" i="111"/>
  <c r="E47" i="111"/>
  <c r="E45" i="111"/>
  <c r="E44" i="111"/>
  <c r="E43" i="111"/>
  <c r="E41" i="111"/>
  <c r="E40" i="111"/>
  <c r="E39" i="111"/>
  <c r="E37" i="111"/>
  <c r="E35" i="111"/>
  <c r="E33" i="111"/>
  <c r="E32" i="111"/>
  <c r="E31" i="111"/>
  <c r="E29" i="111"/>
  <c r="E28" i="111"/>
  <c r="E27" i="111"/>
  <c r="E25" i="111"/>
  <c r="E24" i="111"/>
  <c r="E23" i="111"/>
  <c r="E21" i="111"/>
  <c r="E20" i="111"/>
  <c r="E19" i="111"/>
  <c r="E17" i="111"/>
  <c r="E16" i="111"/>
  <c r="E15" i="111"/>
  <c r="G13" i="111"/>
  <c r="E13" i="111" s="1"/>
  <c r="G12" i="111"/>
  <c r="E12" i="111" s="1"/>
  <c r="G11" i="111"/>
  <c r="E11" i="111" s="1"/>
  <c r="F13" i="108"/>
  <c r="E61" i="108"/>
  <c r="E63" i="109"/>
  <c r="F15" i="109"/>
  <c r="G15" i="109"/>
  <c r="M15" i="109"/>
  <c r="M17" i="90"/>
  <c r="E15" i="109" l="1"/>
  <c r="E20" i="55"/>
  <c r="F29" i="58"/>
  <c r="F28" i="58"/>
  <c r="F30" i="58"/>
  <c r="E62" i="58"/>
  <c r="E61" i="58"/>
  <c r="E60" i="58"/>
  <c r="E58" i="58"/>
  <c r="E57" i="58"/>
  <c r="E56" i="58"/>
  <c r="E54" i="58"/>
  <c r="E52" i="58"/>
  <c r="E53" i="58"/>
  <c r="E61" i="81"/>
  <c r="E60" i="81"/>
  <c r="E57" i="81"/>
  <c r="E56" i="81"/>
  <c r="E53" i="81"/>
  <c r="E52" i="81"/>
  <c r="E49" i="81"/>
  <c r="E48" i="81"/>
  <c r="E45" i="81"/>
  <c r="E44" i="81"/>
  <c r="E41" i="81"/>
  <c r="E40" i="81"/>
  <c r="E65" i="81"/>
  <c r="E64" i="81"/>
  <c r="E37" i="81"/>
  <c r="E59" i="82"/>
  <c r="E55" i="82"/>
  <c r="E51" i="82"/>
  <c r="E47" i="82"/>
  <c r="E43" i="82"/>
  <c r="E40" i="82"/>
  <c r="E39" i="82"/>
  <c r="E36" i="82"/>
  <c r="E35" i="82"/>
  <c r="E32" i="82"/>
  <c r="E31" i="82"/>
  <c r="E28" i="82"/>
  <c r="E27" i="82"/>
  <c r="E24" i="82"/>
  <c r="E23" i="82"/>
  <c r="F11" i="46"/>
  <c r="F12" i="46"/>
  <c r="F13" i="46"/>
  <c r="G11" i="46"/>
  <c r="G12" i="46"/>
  <c r="G13" i="46"/>
  <c r="E59" i="109"/>
  <c r="E51" i="109"/>
  <c r="E50" i="109"/>
  <c r="E49" i="109"/>
  <c r="E47" i="109"/>
  <c r="E46" i="109"/>
  <c r="E62" i="109"/>
  <c r="E61" i="109"/>
  <c r="E58" i="109"/>
  <c r="E57" i="109"/>
  <c r="E55" i="109"/>
  <c r="E54" i="109"/>
  <c r="E53" i="109"/>
  <c r="E45" i="109"/>
  <c r="K12" i="110" l="1"/>
  <c r="K13" i="110"/>
  <c r="K14" i="110"/>
  <c r="E70" i="110"/>
  <c r="E69" i="110"/>
  <c r="E68" i="110"/>
  <c r="E66" i="110"/>
  <c r="E65" i="110"/>
  <c r="E64" i="110"/>
  <c r="E62" i="110"/>
  <c r="E61" i="110"/>
  <c r="E60" i="110"/>
  <c r="E58" i="110"/>
  <c r="E57" i="110"/>
  <c r="E56" i="110"/>
  <c r="E54" i="110"/>
  <c r="E53" i="110"/>
  <c r="E52" i="110"/>
  <c r="E50" i="110"/>
  <c r="E49" i="110"/>
  <c r="E48" i="110"/>
  <c r="E46" i="110"/>
  <c r="E45" i="110"/>
  <c r="E44" i="110"/>
  <c r="E42" i="110"/>
  <c r="E41" i="110"/>
  <c r="E40" i="110"/>
  <c r="F30" i="99"/>
  <c r="G30" i="99"/>
  <c r="H30" i="99"/>
  <c r="I30" i="99"/>
  <c r="J30" i="99"/>
  <c r="K30" i="99"/>
  <c r="F31" i="99"/>
  <c r="G31" i="99"/>
  <c r="H31" i="99"/>
  <c r="I31" i="99"/>
  <c r="J31" i="99"/>
  <c r="K31" i="99"/>
  <c r="F32" i="99"/>
  <c r="G32" i="99"/>
  <c r="H32" i="99"/>
  <c r="I32" i="99"/>
  <c r="J32" i="99"/>
  <c r="K32" i="99"/>
  <c r="E71" i="109"/>
  <c r="E70" i="109"/>
  <c r="E67" i="109"/>
  <c r="E66" i="109"/>
  <c r="E65" i="109"/>
  <c r="M13" i="109"/>
  <c r="E43" i="109"/>
  <c r="E42" i="109"/>
  <c r="E41" i="109"/>
  <c r="M14" i="109"/>
  <c r="F11" i="108" l="1"/>
  <c r="G13" i="108"/>
  <c r="E13" i="108" s="1"/>
  <c r="G11" i="108"/>
  <c r="E53" i="108"/>
  <c r="E52" i="108"/>
  <c r="E51" i="108"/>
  <c r="E41" i="108"/>
  <c r="E40" i="108"/>
  <c r="E39" i="108"/>
  <c r="E50" i="58"/>
  <c r="E49" i="58"/>
  <c r="E48" i="58"/>
  <c r="E46" i="58"/>
  <c r="E45" i="58"/>
  <c r="E44" i="58"/>
  <c r="E42" i="58"/>
  <c r="E41" i="58"/>
  <c r="E40" i="58"/>
  <c r="E38" i="58"/>
  <c r="E37" i="58"/>
  <c r="E36" i="58"/>
  <c r="E34" i="58"/>
  <c r="E33" i="58"/>
  <c r="E32" i="58"/>
  <c r="E17" i="59"/>
  <c r="E16" i="59"/>
  <c r="E15" i="59"/>
  <c r="E21" i="59"/>
  <c r="E20" i="59"/>
  <c r="E19" i="59"/>
  <c r="E25" i="59"/>
  <c r="E24" i="59"/>
  <c r="E23" i="59"/>
  <c r="E29" i="59"/>
  <c r="E28" i="59"/>
  <c r="E27" i="59"/>
  <c r="E33" i="59"/>
  <c r="E32" i="59"/>
  <c r="E31" i="59"/>
  <c r="E37" i="59"/>
  <c r="E36" i="59"/>
  <c r="E35" i="59"/>
  <c r="E41" i="59"/>
  <c r="E40" i="59"/>
  <c r="E39" i="59"/>
  <c r="E45" i="59"/>
  <c r="E44" i="59"/>
  <c r="E43" i="59"/>
  <c r="E49" i="59"/>
  <c r="E48" i="59"/>
  <c r="E47" i="59"/>
  <c r="E53" i="59"/>
  <c r="E52" i="59"/>
  <c r="E51" i="59"/>
  <c r="E57" i="59"/>
  <c r="E56" i="59"/>
  <c r="E55" i="59"/>
  <c r="E17" i="46"/>
  <c r="E16" i="46"/>
  <c r="E15" i="46"/>
  <c r="E21" i="46"/>
  <c r="E20" i="46"/>
  <c r="E19" i="46"/>
  <c r="E25" i="46"/>
  <c r="E24" i="46"/>
  <c r="E23" i="46"/>
  <c r="E29" i="46"/>
  <c r="E28" i="46"/>
  <c r="E27" i="46"/>
  <c r="E33" i="46"/>
  <c r="E32" i="46"/>
  <c r="E31" i="46"/>
  <c r="E37" i="46"/>
  <c r="E36" i="46"/>
  <c r="E35" i="46"/>
  <c r="E41" i="46"/>
  <c r="E40" i="46"/>
  <c r="E39" i="46"/>
  <c r="E45" i="46"/>
  <c r="E44" i="46"/>
  <c r="E43" i="46"/>
  <c r="E49" i="46"/>
  <c r="E48" i="46"/>
  <c r="E47" i="46"/>
  <c r="E53" i="46"/>
  <c r="E52" i="46"/>
  <c r="E51" i="46"/>
  <c r="E57" i="46"/>
  <c r="E56" i="46"/>
  <c r="E55" i="46"/>
  <c r="E61" i="46"/>
  <c r="E60" i="46"/>
  <c r="E59" i="46"/>
  <c r="E65" i="46"/>
  <c r="E64" i="46"/>
  <c r="E63" i="46"/>
  <c r="E71" i="46"/>
  <c r="E69" i="46"/>
  <c r="E68" i="46"/>
  <c r="E67" i="46"/>
  <c r="E73" i="46"/>
  <c r="E72" i="46"/>
  <c r="E17" i="47"/>
  <c r="E16" i="47"/>
  <c r="E15" i="47"/>
  <c r="E21" i="47"/>
  <c r="E20" i="47"/>
  <c r="E19" i="47"/>
  <c r="E25" i="47"/>
  <c r="E24" i="47"/>
  <c r="E23" i="47"/>
  <c r="E42" i="47"/>
  <c r="E41" i="47"/>
  <c r="E40" i="47"/>
  <c r="E46" i="47"/>
  <c r="E45" i="47"/>
  <c r="E44" i="47"/>
  <c r="E50" i="47"/>
  <c r="E49" i="47"/>
  <c r="E48" i="47"/>
  <c r="E17" i="63"/>
  <c r="E16" i="63"/>
  <c r="E15" i="63"/>
  <c r="E21" i="63"/>
  <c r="E20" i="63"/>
  <c r="E19" i="63"/>
  <c r="E25" i="63"/>
  <c r="E24" i="63"/>
  <c r="E23" i="63"/>
  <c r="E29" i="63"/>
  <c r="E28" i="63"/>
  <c r="E27" i="63"/>
  <c r="E33" i="63"/>
  <c r="E32" i="63"/>
  <c r="E31" i="63"/>
  <c r="E37" i="63"/>
  <c r="E36" i="63"/>
  <c r="E35" i="63"/>
  <c r="E41" i="63"/>
  <c r="E40" i="63"/>
  <c r="E39" i="63"/>
  <c r="E45" i="63"/>
  <c r="E44" i="63"/>
  <c r="E43" i="63"/>
  <c r="E49" i="63"/>
  <c r="E48" i="63"/>
  <c r="E47" i="63"/>
  <c r="E13" i="64"/>
  <c r="E12" i="64"/>
  <c r="E11" i="64"/>
  <c r="E17" i="64"/>
  <c r="E16" i="64"/>
  <c r="E15" i="64"/>
  <c r="E21" i="64"/>
  <c r="E20" i="64"/>
  <c r="E19" i="64"/>
  <c r="E25" i="64"/>
  <c r="E24" i="64"/>
  <c r="E23" i="64"/>
  <c r="E29" i="64"/>
  <c r="E28" i="64"/>
  <c r="E27" i="64"/>
  <c r="E33" i="64"/>
  <c r="E32" i="64"/>
  <c r="E31" i="64"/>
  <c r="E37" i="64"/>
  <c r="E36" i="64"/>
  <c r="E35" i="64"/>
  <c r="E41" i="64"/>
  <c r="E40" i="64"/>
  <c r="E39" i="64"/>
  <c r="E45" i="64"/>
  <c r="E44" i="64"/>
  <c r="E43" i="64"/>
  <c r="E49" i="64"/>
  <c r="E48" i="64"/>
  <c r="E47" i="64"/>
  <c r="E53" i="64"/>
  <c r="E52" i="64"/>
  <c r="E51" i="64"/>
  <c r="E45" i="69"/>
  <c r="E44" i="69"/>
  <c r="E43" i="69"/>
  <c r="E41" i="69"/>
  <c r="E40" i="69"/>
  <c r="E39" i="69"/>
  <c r="E37" i="69"/>
  <c r="E36" i="69"/>
  <c r="E35" i="69"/>
  <c r="E33" i="69"/>
  <c r="E32" i="69"/>
  <c r="E31" i="69"/>
  <c r="E29" i="69"/>
  <c r="E28" i="69"/>
  <c r="E27" i="69"/>
  <c r="E25" i="69"/>
  <c r="E24" i="69"/>
  <c r="E23" i="69"/>
  <c r="E21" i="69"/>
  <c r="E20" i="69"/>
  <c r="E19" i="69"/>
  <c r="E17" i="69"/>
  <c r="E16" i="69"/>
  <c r="E15" i="69"/>
  <c r="E51" i="70"/>
  <c r="E50" i="70"/>
  <c r="E49" i="70"/>
  <c r="E47" i="70"/>
  <c r="E46" i="70"/>
  <c r="E45" i="70"/>
  <c r="E43" i="70"/>
  <c r="E42" i="70"/>
  <c r="E41" i="70"/>
  <c r="E39" i="70"/>
  <c r="E38" i="70"/>
  <c r="E37" i="70"/>
  <c r="E35" i="70"/>
  <c r="E34" i="70"/>
  <c r="E33" i="70"/>
  <c r="E31" i="70"/>
  <c r="E30" i="70"/>
  <c r="E29" i="70"/>
  <c r="E27" i="70"/>
  <c r="E26" i="70"/>
  <c r="E25" i="70"/>
  <c r="E23" i="70"/>
  <c r="E22" i="70"/>
  <c r="E21" i="70"/>
  <c r="E19" i="70"/>
  <c r="E18" i="70"/>
  <c r="E17" i="70"/>
  <c r="E15" i="70"/>
  <c r="E14" i="70"/>
  <c r="E13" i="70"/>
  <c r="E51" i="71"/>
  <c r="E50" i="71"/>
  <c r="E49" i="71"/>
  <c r="E47" i="71"/>
  <c r="E46" i="71"/>
  <c r="E45" i="71"/>
  <c r="E43" i="71"/>
  <c r="E42" i="71"/>
  <c r="E41" i="71"/>
  <c r="E39" i="71"/>
  <c r="E38" i="71"/>
  <c r="E37" i="71"/>
  <c r="E35" i="71"/>
  <c r="E34" i="71"/>
  <c r="E33" i="71"/>
  <c r="E31" i="71"/>
  <c r="E30" i="71"/>
  <c r="E29" i="71"/>
  <c r="E27" i="71"/>
  <c r="E26" i="71"/>
  <c r="E25" i="71"/>
  <c r="E23" i="71"/>
  <c r="E22" i="71"/>
  <c r="E21" i="71"/>
  <c r="E19" i="71"/>
  <c r="E18" i="71"/>
  <c r="E17" i="71"/>
  <c r="E15" i="71"/>
  <c r="E14" i="71"/>
  <c r="E13" i="71"/>
  <c r="E73" i="72"/>
  <c r="E72" i="72"/>
  <c r="E71" i="72"/>
  <c r="E69" i="72"/>
  <c r="E68" i="72"/>
  <c r="E67" i="72"/>
  <c r="E65" i="72"/>
  <c r="E64" i="72"/>
  <c r="E63" i="72"/>
  <c r="E61" i="72"/>
  <c r="E60" i="72"/>
  <c r="E59" i="72"/>
  <c r="E57" i="72"/>
  <c r="E56" i="72"/>
  <c r="E55" i="72"/>
  <c r="E53" i="72"/>
  <c r="E52" i="72"/>
  <c r="E51" i="72"/>
  <c r="E49" i="72"/>
  <c r="E48" i="72"/>
  <c r="E47" i="72"/>
  <c r="E45" i="72"/>
  <c r="E44" i="72"/>
  <c r="E43" i="72"/>
  <c r="E41" i="72"/>
  <c r="E40" i="72"/>
  <c r="E39" i="72"/>
  <c r="E37" i="72"/>
  <c r="E36" i="72"/>
  <c r="E35" i="72"/>
  <c r="E33" i="72"/>
  <c r="E32" i="72"/>
  <c r="E31" i="72"/>
  <c r="E29" i="72"/>
  <c r="E28" i="72"/>
  <c r="E27" i="72"/>
  <c r="E25" i="72"/>
  <c r="E24" i="72"/>
  <c r="E23" i="72"/>
  <c r="E21" i="72"/>
  <c r="E20" i="72"/>
  <c r="E19" i="72"/>
  <c r="E16" i="72"/>
  <c r="E17" i="72"/>
  <c r="E15" i="72"/>
  <c r="E41" i="73"/>
  <c r="E40" i="73"/>
  <c r="E39" i="73"/>
  <c r="E37" i="73"/>
  <c r="E36" i="73"/>
  <c r="E35" i="73"/>
  <c r="E33" i="73"/>
  <c r="E32" i="73"/>
  <c r="E31" i="73"/>
  <c r="E29" i="73"/>
  <c r="E28" i="73"/>
  <c r="E27" i="73"/>
  <c r="E25" i="73"/>
  <c r="E24" i="73"/>
  <c r="E23" i="73"/>
  <c r="E21" i="73"/>
  <c r="E20" i="73"/>
  <c r="E19" i="73"/>
  <c r="E17" i="73"/>
  <c r="E16" i="73"/>
  <c r="E15" i="73"/>
  <c r="E37" i="74"/>
  <c r="E36" i="74"/>
  <c r="E35" i="74"/>
  <c r="E33" i="74"/>
  <c r="E32" i="74"/>
  <c r="E31" i="74"/>
  <c r="E29" i="74"/>
  <c r="E28" i="74"/>
  <c r="E27" i="74"/>
  <c r="E25" i="74"/>
  <c r="E24" i="74"/>
  <c r="E23" i="74"/>
  <c r="E21" i="74"/>
  <c r="E20" i="74"/>
  <c r="E19" i="74"/>
  <c r="E16" i="74"/>
  <c r="E17" i="74"/>
  <c r="E15" i="74"/>
  <c r="E16" i="55"/>
  <c r="E17" i="55"/>
  <c r="E15" i="55"/>
  <c r="G11" i="55"/>
  <c r="G12" i="55"/>
  <c r="G13" i="55"/>
  <c r="F12" i="55"/>
  <c r="F13" i="55"/>
  <c r="F11" i="55"/>
  <c r="E30" i="47"/>
  <c r="E29" i="47"/>
  <c r="E28" i="47"/>
  <c r="E38" i="47"/>
  <c r="E37" i="47"/>
  <c r="E36" i="47"/>
  <c r="E34" i="47"/>
  <c r="E33" i="47"/>
  <c r="E32" i="47"/>
  <c r="G13" i="107"/>
  <c r="H13" i="107"/>
  <c r="I13" i="107"/>
  <c r="J13" i="107"/>
  <c r="K13" i="107"/>
  <c r="G14" i="107"/>
  <c r="H14" i="107"/>
  <c r="I14" i="107"/>
  <c r="J14" i="107"/>
  <c r="K14" i="107"/>
  <c r="G15" i="107"/>
  <c r="H15" i="107"/>
  <c r="I15" i="107"/>
  <c r="J15" i="107"/>
  <c r="K15" i="107"/>
  <c r="F14" i="107"/>
  <c r="F15" i="107"/>
  <c r="F13" i="107"/>
  <c r="F17" i="92"/>
  <c r="G15" i="92"/>
  <c r="M15" i="92"/>
  <c r="G16" i="92"/>
  <c r="M16" i="92"/>
  <c r="G17" i="92"/>
  <c r="M17" i="92"/>
  <c r="F16" i="92"/>
  <c r="F15" i="92"/>
  <c r="E13" i="72" l="1"/>
  <c r="E12" i="72"/>
  <c r="E11" i="72"/>
  <c r="E11" i="46"/>
  <c r="E12" i="46"/>
  <c r="E13" i="46"/>
  <c r="E11" i="74"/>
  <c r="G13" i="106"/>
  <c r="H13" i="106"/>
  <c r="I13" i="106"/>
  <c r="J13" i="106"/>
  <c r="K13" i="106"/>
  <c r="G14" i="106"/>
  <c r="H14" i="106"/>
  <c r="I14" i="106"/>
  <c r="K14" i="106"/>
  <c r="G15" i="106"/>
  <c r="H15" i="106"/>
  <c r="I15" i="106"/>
  <c r="J15" i="106"/>
  <c r="K15" i="106"/>
  <c r="F14" i="106"/>
  <c r="F15" i="106"/>
  <c r="F13" i="106"/>
  <c r="G15" i="91"/>
  <c r="M15" i="91"/>
  <c r="G16" i="91"/>
  <c r="M16" i="91"/>
  <c r="G17" i="91"/>
  <c r="M17" i="91"/>
  <c r="F16" i="91"/>
  <c r="F17" i="91"/>
  <c r="F15" i="91"/>
  <c r="E13" i="106" l="1"/>
  <c r="G15" i="90"/>
  <c r="M15" i="90"/>
  <c r="G16" i="90"/>
  <c r="M16" i="90"/>
  <c r="G17" i="90"/>
  <c r="F16" i="90"/>
  <c r="F17" i="90"/>
  <c r="F15" i="90"/>
  <c r="G13" i="105"/>
  <c r="H13" i="105"/>
  <c r="I13" i="105"/>
  <c r="J13" i="105"/>
  <c r="K13" i="105"/>
  <c r="G14" i="105"/>
  <c r="H14" i="105"/>
  <c r="I14" i="105"/>
  <c r="J14" i="105"/>
  <c r="K14" i="105"/>
  <c r="G15" i="105"/>
  <c r="H15" i="105"/>
  <c r="I15" i="105"/>
  <c r="J15" i="105"/>
  <c r="K15" i="105"/>
  <c r="F14" i="105"/>
  <c r="F15" i="105"/>
  <c r="F13" i="105"/>
  <c r="E17" i="90" l="1"/>
  <c r="G13" i="102"/>
  <c r="H13" i="102"/>
  <c r="I13" i="102"/>
  <c r="J13" i="102"/>
  <c r="K13" i="102"/>
  <c r="G14" i="102"/>
  <c r="H14" i="102"/>
  <c r="I14" i="102"/>
  <c r="J14" i="102"/>
  <c r="K14" i="102"/>
  <c r="G15" i="102"/>
  <c r="H15" i="102"/>
  <c r="I15" i="102"/>
  <c r="J15" i="102"/>
  <c r="K15" i="102"/>
  <c r="F14" i="102"/>
  <c r="F15" i="102"/>
  <c r="F13" i="102"/>
  <c r="F15" i="87"/>
  <c r="G15" i="87"/>
  <c r="M15" i="87"/>
  <c r="F16" i="87"/>
  <c r="G16" i="87"/>
  <c r="M16" i="87"/>
  <c r="M55" i="88"/>
  <c r="G55" i="88"/>
  <c r="F55" i="88"/>
  <c r="M51" i="88"/>
  <c r="G51" i="88"/>
  <c r="M47" i="88"/>
  <c r="M43" i="88"/>
  <c r="G43" i="88"/>
  <c r="F43" i="88"/>
  <c r="M49" i="87"/>
  <c r="G49" i="87"/>
  <c r="M45" i="87"/>
  <c r="G45" i="87"/>
  <c r="M41" i="87"/>
  <c r="G41" i="87"/>
  <c r="M37" i="87"/>
  <c r="G37" i="87"/>
  <c r="M33" i="87"/>
  <c r="G33" i="87"/>
  <c r="G29" i="87"/>
  <c r="M25" i="87"/>
  <c r="F25" i="87"/>
  <c r="M21" i="87"/>
  <c r="G21" i="87"/>
  <c r="G13" i="100"/>
  <c r="H13" i="100"/>
  <c r="I13" i="100"/>
  <c r="J13" i="100"/>
  <c r="K13" i="100"/>
  <c r="H14" i="100"/>
  <c r="I14" i="100"/>
  <c r="J14" i="100"/>
  <c r="G15" i="100"/>
  <c r="H15" i="100"/>
  <c r="I15" i="100"/>
  <c r="J15" i="100"/>
  <c r="K15" i="100"/>
  <c r="F15" i="100"/>
  <c r="F13" i="100"/>
  <c r="K56" i="101"/>
  <c r="F56" i="101"/>
  <c r="K52" i="101"/>
  <c r="F52" i="101"/>
  <c r="K48" i="101"/>
  <c r="F48" i="101"/>
  <c r="K44" i="101"/>
  <c r="F44" i="101"/>
  <c r="K40" i="101"/>
  <c r="F40" i="101"/>
  <c r="K36" i="101"/>
  <c r="F36" i="101"/>
  <c r="K32" i="101"/>
  <c r="F32" i="101"/>
  <c r="K28" i="101"/>
  <c r="F28" i="101"/>
  <c r="K24" i="101"/>
  <c r="F24" i="101"/>
  <c r="K20" i="101"/>
  <c r="F20" i="101"/>
  <c r="K50" i="100"/>
  <c r="F50" i="100"/>
  <c r="K46" i="100"/>
  <c r="F46" i="100"/>
  <c r="K42" i="100"/>
  <c r="F42" i="100"/>
  <c r="K38" i="100"/>
  <c r="F38" i="100"/>
  <c r="K34" i="100"/>
  <c r="G34" i="100"/>
  <c r="F34" i="100"/>
  <c r="K30" i="100"/>
  <c r="F30" i="100"/>
  <c r="K26" i="100"/>
  <c r="G26" i="100"/>
  <c r="F26" i="100"/>
  <c r="K22" i="100"/>
  <c r="F22" i="100"/>
  <c r="K18" i="100"/>
  <c r="F18" i="100"/>
  <c r="G15" i="85"/>
  <c r="M15" i="85"/>
  <c r="G16" i="85"/>
  <c r="M16" i="85"/>
  <c r="F16" i="85"/>
  <c r="F15" i="85"/>
  <c r="M59" i="86"/>
  <c r="G59" i="86"/>
  <c r="F59" i="86"/>
  <c r="M55" i="86"/>
  <c r="G55" i="86"/>
  <c r="F55" i="86"/>
  <c r="M51" i="86"/>
  <c r="G51" i="86"/>
  <c r="F51" i="86"/>
  <c r="M47" i="86"/>
  <c r="G47" i="86"/>
  <c r="F47" i="86"/>
  <c r="M43" i="86"/>
  <c r="G43" i="86"/>
  <c r="F43" i="86"/>
  <c r="M39" i="86"/>
  <c r="G39" i="86"/>
  <c r="F39" i="86"/>
  <c r="M35" i="86"/>
  <c r="G35" i="86"/>
  <c r="F35" i="86"/>
  <c r="G31" i="86"/>
  <c r="F31" i="86"/>
  <c r="M27" i="86"/>
  <c r="G27" i="86"/>
  <c r="F27" i="86"/>
  <c r="M23" i="86"/>
  <c r="G23" i="86"/>
  <c r="F23" i="86"/>
  <c r="M53" i="85"/>
  <c r="G53" i="85"/>
  <c r="F53" i="85"/>
  <c r="M49" i="85"/>
  <c r="G49" i="85"/>
  <c r="M45" i="85"/>
  <c r="G45" i="85"/>
  <c r="F45" i="85"/>
  <c r="M41" i="85"/>
  <c r="G41" i="85"/>
  <c r="F41" i="85"/>
  <c r="M37" i="85"/>
  <c r="G37" i="85"/>
  <c r="F37" i="85"/>
  <c r="M33" i="85"/>
  <c r="G33" i="85"/>
  <c r="F33" i="85"/>
  <c r="M29" i="85"/>
  <c r="G29" i="85"/>
  <c r="M25" i="85"/>
  <c r="G25" i="85"/>
  <c r="F25" i="85"/>
  <c r="M21" i="85"/>
  <c r="G21" i="85"/>
  <c r="E29" i="84"/>
  <c r="E28" i="84"/>
  <c r="E27" i="84"/>
  <c r="E25" i="84"/>
  <c r="E24" i="84"/>
  <c r="E23" i="84"/>
  <c r="E20" i="84"/>
  <c r="E21" i="84"/>
  <c r="E27" i="99"/>
  <c r="E25" i="99"/>
  <c r="E23" i="99"/>
  <c r="E21" i="99"/>
  <c r="E19" i="99"/>
  <c r="E52" i="99"/>
  <c r="E51" i="99"/>
  <c r="E50" i="99"/>
  <c r="E48" i="99"/>
  <c r="E47" i="99"/>
  <c r="E46" i="99"/>
  <c r="E44" i="99"/>
  <c r="E43" i="99"/>
  <c r="E42" i="99"/>
  <c r="E40" i="99"/>
  <c r="E39" i="99"/>
  <c r="E38" i="99"/>
  <c r="E35" i="99"/>
  <c r="E36" i="99"/>
  <c r="G32" i="84"/>
  <c r="G33" i="84"/>
  <c r="F33" i="84"/>
  <c r="F32" i="84"/>
  <c r="M54" i="84"/>
  <c r="G54" i="84"/>
  <c r="F54" i="84"/>
  <c r="M50" i="84"/>
  <c r="G50" i="84"/>
  <c r="F50" i="84"/>
  <c r="M46" i="84"/>
  <c r="G46" i="84"/>
  <c r="F46" i="84"/>
  <c r="M42" i="84"/>
  <c r="G42" i="84"/>
  <c r="F42" i="84"/>
  <c r="M38" i="84"/>
  <c r="G38" i="84"/>
  <c r="F38" i="84"/>
  <c r="E50" i="84" l="1"/>
  <c r="E49" i="85"/>
  <c r="K14" i="100"/>
  <c r="E29" i="85"/>
  <c r="E41" i="85"/>
  <c r="E47" i="86"/>
  <c r="F17" i="87"/>
  <c r="F34" i="84"/>
  <c r="E54" i="84"/>
  <c r="E25" i="85"/>
  <c r="E37" i="85"/>
  <c r="E31" i="86"/>
  <c r="E59" i="86"/>
  <c r="G34" i="84"/>
  <c r="E42" i="84"/>
  <c r="E27" i="86"/>
  <c r="E39" i="86"/>
  <c r="F14" i="100"/>
  <c r="E46" i="84"/>
  <c r="E33" i="85"/>
  <c r="E23" i="86"/>
  <c r="E35" i="86"/>
  <c r="G14" i="100"/>
  <c r="E14" i="100" s="1"/>
  <c r="E13" i="102"/>
  <c r="M34" i="84"/>
  <c r="E55" i="86"/>
  <c r="M17" i="87"/>
  <c r="F17" i="85"/>
  <c r="G17" i="85"/>
  <c r="G17" i="87"/>
  <c r="M17" i="85"/>
  <c r="E15" i="102"/>
  <c r="E14" i="102"/>
  <c r="E13" i="100"/>
  <c r="E15" i="85"/>
  <c r="E15" i="100"/>
  <c r="G15" i="99"/>
  <c r="H15" i="99"/>
  <c r="I15" i="99"/>
  <c r="K15" i="99"/>
  <c r="F15" i="99"/>
  <c r="F17" i="84"/>
  <c r="E34" i="84" l="1"/>
  <c r="E17" i="84"/>
  <c r="E15" i="99"/>
  <c r="G13" i="97"/>
  <c r="H13" i="97"/>
  <c r="I13" i="97"/>
  <c r="J13" i="97"/>
  <c r="K13" i="97"/>
  <c r="H14" i="97"/>
  <c r="I14" i="97"/>
  <c r="J14" i="97"/>
  <c r="G15" i="97"/>
  <c r="H15" i="97"/>
  <c r="I15" i="97"/>
  <c r="J15" i="97"/>
  <c r="K15" i="97"/>
  <c r="F15" i="97"/>
  <c r="F13" i="97"/>
  <c r="K58" i="97"/>
  <c r="G58" i="97"/>
  <c r="F58" i="97"/>
  <c r="K54" i="97"/>
  <c r="F54" i="97"/>
  <c r="K50" i="97"/>
  <c r="F50" i="97"/>
  <c r="K46" i="97"/>
  <c r="F46" i="97"/>
  <c r="G42" i="97"/>
  <c r="F42" i="97"/>
  <c r="K38" i="97"/>
  <c r="G38" i="97"/>
  <c r="F38" i="97"/>
  <c r="K34" i="97"/>
  <c r="G34" i="97"/>
  <c r="F34" i="97"/>
  <c r="K30" i="97"/>
  <c r="F30" i="97"/>
  <c r="K26" i="97"/>
  <c r="F26" i="97"/>
  <c r="K22" i="97"/>
  <c r="F22" i="97"/>
  <c r="K18" i="97"/>
  <c r="F18" i="97"/>
  <c r="G15" i="82"/>
  <c r="M15" i="82"/>
  <c r="G16" i="82"/>
  <c r="M16" i="82"/>
  <c r="F16" i="82"/>
  <c r="F15" i="82"/>
  <c r="M61" i="82"/>
  <c r="G61" i="82"/>
  <c r="F61" i="82"/>
  <c r="E61" i="82" s="1"/>
  <c r="M57" i="82"/>
  <c r="G57" i="82"/>
  <c r="F57" i="82"/>
  <c r="M53" i="82"/>
  <c r="G53" i="82"/>
  <c r="F53" i="82"/>
  <c r="M49" i="82"/>
  <c r="G49" i="82"/>
  <c r="F49" i="82"/>
  <c r="E49" i="82" s="1"/>
  <c r="M45" i="82"/>
  <c r="G45" i="82"/>
  <c r="F45" i="82"/>
  <c r="E45" i="82" s="1"/>
  <c r="M41" i="82"/>
  <c r="G41" i="82"/>
  <c r="F41" i="82"/>
  <c r="M37" i="82"/>
  <c r="G37" i="82"/>
  <c r="F37" i="82"/>
  <c r="M33" i="82"/>
  <c r="G33" i="82"/>
  <c r="F33" i="82"/>
  <c r="M29" i="82"/>
  <c r="G29" i="82"/>
  <c r="F29" i="82"/>
  <c r="E29" i="82" s="1"/>
  <c r="M25" i="82"/>
  <c r="E25" i="82" s="1"/>
  <c r="M21" i="82"/>
  <c r="G21" i="82"/>
  <c r="F21" i="82"/>
  <c r="E21" i="82" s="1"/>
  <c r="E41" i="82" l="1"/>
  <c r="E57" i="82"/>
  <c r="E53" i="82"/>
  <c r="E33" i="82"/>
  <c r="E37" i="82"/>
  <c r="M17" i="82"/>
  <c r="F14" i="97"/>
  <c r="K14" i="97"/>
  <c r="G14" i="97"/>
  <c r="G17" i="82"/>
  <c r="F17" i="82"/>
  <c r="G32" i="81"/>
  <c r="M32" i="81"/>
  <c r="G33" i="81"/>
  <c r="M33" i="81"/>
  <c r="F33" i="81"/>
  <c r="F32" i="81"/>
  <c r="M66" i="81"/>
  <c r="G66" i="81"/>
  <c r="F66" i="81"/>
  <c r="M62" i="81"/>
  <c r="G62" i="81"/>
  <c r="F62" i="81"/>
  <c r="M58" i="81"/>
  <c r="G58" i="81"/>
  <c r="F58" i="81"/>
  <c r="M54" i="81"/>
  <c r="G54" i="81"/>
  <c r="F54" i="81"/>
  <c r="G50" i="81"/>
  <c r="F50" i="81"/>
  <c r="M46" i="81"/>
  <c r="G46" i="81"/>
  <c r="M42" i="81"/>
  <c r="G42" i="81"/>
  <c r="F42" i="81"/>
  <c r="M38" i="81"/>
  <c r="G38" i="81"/>
  <c r="F38" i="81"/>
  <c r="G30" i="96"/>
  <c r="H30" i="96"/>
  <c r="I30" i="96"/>
  <c r="J30" i="96"/>
  <c r="K30" i="96"/>
  <c r="H31" i="96"/>
  <c r="I31" i="96"/>
  <c r="J31" i="96"/>
  <c r="G32" i="96"/>
  <c r="H32" i="96"/>
  <c r="I32" i="96"/>
  <c r="J32" i="96"/>
  <c r="K32" i="96"/>
  <c r="F32" i="96"/>
  <c r="F30" i="96"/>
  <c r="K63" i="96"/>
  <c r="F63" i="96"/>
  <c r="K59" i="96"/>
  <c r="G59" i="96"/>
  <c r="F59" i="96"/>
  <c r="K55" i="96"/>
  <c r="F55" i="96"/>
  <c r="K51" i="96"/>
  <c r="F51" i="96"/>
  <c r="K47" i="96"/>
  <c r="G47" i="96"/>
  <c r="G31" i="96" s="1"/>
  <c r="F47" i="96"/>
  <c r="K43" i="96"/>
  <c r="F43" i="96"/>
  <c r="K39" i="96"/>
  <c r="F39" i="96"/>
  <c r="K35" i="96"/>
  <c r="F35" i="96"/>
  <c r="F31" i="96" l="1"/>
  <c r="M34" i="81"/>
  <c r="K31" i="96"/>
  <c r="E50" i="81"/>
  <c r="E54" i="81"/>
  <c r="E58" i="81"/>
  <c r="E62" i="81"/>
  <c r="E66" i="81"/>
  <c r="F34" i="81"/>
  <c r="E34" i="81" s="1"/>
  <c r="G34" i="81"/>
  <c r="E38" i="81"/>
  <c r="E42" i="81"/>
  <c r="E46" i="81"/>
  <c r="G13" i="96"/>
  <c r="H13" i="96"/>
  <c r="I13" i="96"/>
  <c r="J13" i="96"/>
  <c r="K13" i="96"/>
  <c r="H14" i="96"/>
  <c r="I14" i="96"/>
  <c r="J14" i="96"/>
  <c r="F13" i="96"/>
  <c r="K27" i="96"/>
  <c r="I27" i="96"/>
  <c r="H27" i="96"/>
  <c r="G27" i="96"/>
  <c r="F27" i="96"/>
  <c r="K26" i="96"/>
  <c r="G26" i="96"/>
  <c r="G14" i="96" s="1"/>
  <c r="F26" i="96"/>
  <c r="K23" i="96"/>
  <c r="I23" i="96"/>
  <c r="H23" i="96"/>
  <c r="G23" i="96"/>
  <c r="F23" i="96"/>
  <c r="K22" i="96"/>
  <c r="F22" i="96"/>
  <c r="K19" i="96"/>
  <c r="I19" i="96"/>
  <c r="I15" i="96" s="1"/>
  <c r="H19" i="96"/>
  <c r="G19" i="96"/>
  <c r="F19" i="96"/>
  <c r="F15" i="96" s="1"/>
  <c r="K18" i="96"/>
  <c r="F18" i="96"/>
  <c r="G15" i="81"/>
  <c r="M15" i="81"/>
  <c r="G16" i="81"/>
  <c r="M16" i="81"/>
  <c r="F16" i="81"/>
  <c r="F15" i="81"/>
  <c r="M29" i="81"/>
  <c r="G29" i="81"/>
  <c r="F29" i="81"/>
  <c r="M25" i="81"/>
  <c r="G25" i="81"/>
  <c r="F25" i="81"/>
  <c r="M21" i="81"/>
  <c r="G21" i="81"/>
  <c r="F21" i="81"/>
  <c r="K15" i="96" l="1"/>
  <c r="M17" i="81"/>
  <c r="G15" i="96"/>
  <c r="H15" i="96"/>
  <c r="K14" i="96"/>
  <c r="F14" i="96"/>
  <c r="F17" i="81"/>
  <c r="E21" i="81"/>
  <c r="G17" i="81"/>
  <c r="E25" i="81"/>
  <c r="G13" i="95"/>
  <c r="H13" i="95"/>
  <c r="I13" i="95"/>
  <c r="J13" i="95"/>
  <c r="K13" i="95"/>
  <c r="H14" i="95"/>
  <c r="I14" i="95"/>
  <c r="G15" i="95"/>
  <c r="H15" i="95"/>
  <c r="I15" i="95"/>
  <c r="K15" i="95"/>
  <c r="F15" i="95"/>
  <c r="F13" i="95"/>
  <c r="F54" i="95"/>
  <c r="K50" i="95"/>
  <c r="F50" i="95"/>
  <c r="K46" i="95"/>
  <c r="G46" i="95"/>
  <c r="F46" i="95"/>
  <c r="F42" i="95"/>
  <c r="K38" i="95"/>
  <c r="F38" i="95"/>
  <c r="K34" i="95"/>
  <c r="F34" i="95"/>
  <c r="K30" i="95"/>
  <c r="G30" i="95"/>
  <c r="G14" i="95" s="1"/>
  <c r="F30" i="95"/>
  <c r="K26" i="95"/>
  <c r="F26" i="95"/>
  <c r="K22" i="95"/>
  <c r="F22" i="95"/>
  <c r="K18" i="95"/>
  <c r="F18" i="95"/>
  <c r="G15" i="80"/>
  <c r="M15" i="80"/>
  <c r="G16" i="80"/>
  <c r="M16" i="80"/>
  <c r="G17" i="80"/>
  <c r="M17" i="80"/>
  <c r="F16" i="80"/>
  <c r="F17" i="80"/>
  <c r="F15" i="80"/>
  <c r="E19" i="80"/>
  <c r="E20" i="80"/>
  <c r="E21" i="80"/>
  <c r="E23" i="80"/>
  <c r="E24" i="80"/>
  <c r="E25" i="80"/>
  <c r="E27" i="80"/>
  <c r="E28" i="80"/>
  <c r="E29" i="80"/>
  <c r="E31" i="80"/>
  <c r="E32" i="80"/>
  <c r="E33" i="80"/>
  <c r="E35" i="80"/>
  <c r="E36" i="80"/>
  <c r="E37" i="80"/>
  <c r="E39" i="80"/>
  <c r="E40" i="80"/>
  <c r="E41" i="80"/>
  <c r="E43" i="80"/>
  <c r="E44" i="80"/>
  <c r="E45" i="80"/>
  <c r="E47" i="80"/>
  <c r="E48" i="80"/>
  <c r="E49" i="80"/>
  <c r="E51" i="80"/>
  <c r="E52" i="80"/>
  <c r="E53" i="80"/>
  <c r="E55" i="80"/>
  <c r="E56" i="80"/>
  <c r="E57" i="80"/>
  <c r="K14" i="95" l="1"/>
  <c r="F14" i="95"/>
  <c r="G13" i="94"/>
  <c r="H13" i="94"/>
  <c r="I13" i="94"/>
  <c r="J13" i="94"/>
  <c r="K13" i="94"/>
  <c r="G14" i="94"/>
  <c r="H14" i="94"/>
  <c r="I14" i="94"/>
  <c r="J14" i="94"/>
  <c r="K14" i="94"/>
  <c r="G15" i="94"/>
  <c r="H15" i="94"/>
  <c r="I15" i="94"/>
  <c r="J15" i="94"/>
  <c r="K15" i="94"/>
  <c r="F14" i="94"/>
  <c r="F15" i="94"/>
  <c r="F13" i="94"/>
  <c r="G15" i="79"/>
  <c r="M15" i="79"/>
  <c r="G16" i="79"/>
  <c r="M16" i="79"/>
  <c r="G17" i="79"/>
  <c r="M17" i="79"/>
  <c r="F16" i="79"/>
  <c r="F17" i="79"/>
  <c r="F15" i="79"/>
  <c r="G13" i="93" l="1"/>
  <c r="H13" i="93"/>
  <c r="I13" i="93"/>
  <c r="J13" i="93"/>
  <c r="K13" i="93"/>
  <c r="G14" i="93"/>
  <c r="H14" i="93"/>
  <c r="I14" i="93"/>
  <c r="J14" i="93"/>
  <c r="K14" i="93"/>
  <c r="G15" i="93"/>
  <c r="H15" i="93"/>
  <c r="I15" i="93"/>
  <c r="J15" i="93"/>
  <c r="K15" i="93"/>
  <c r="F14" i="93"/>
  <c r="F15" i="93"/>
  <c r="F13" i="93"/>
  <c r="E71" i="93"/>
  <c r="E70" i="93"/>
  <c r="E69" i="93"/>
  <c r="E67" i="93"/>
  <c r="E66" i="93"/>
  <c r="E65" i="93"/>
  <c r="E63" i="93"/>
  <c r="E62" i="93"/>
  <c r="E61" i="93"/>
  <c r="E58" i="93"/>
  <c r="E57" i="93"/>
  <c r="E55" i="93"/>
  <c r="E54" i="93"/>
  <c r="E53" i="93"/>
  <c r="E51" i="93"/>
  <c r="E50" i="93"/>
  <c r="E49" i="93"/>
  <c r="E47" i="93"/>
  <c r="E46" i="93"/>
  <c r="E45" i="93"/>
  <c r="E43" i="93"/>
  <c r="E42" i="93"/>
  <c r="E41" i="93"/>
  <c r="E39" i="93"/>
  <c r="E38" i="93"/>
  <c r="E37" i="93"/>
  <c r="E35" i="93"/>
  <c r="E34" i="93"/>
  <c r="E33" i="93"/>
  <c r="E31" i="93"/>
  <c r="E30" i="93"/>
  <c r="E29" i="93"/>
  <c r="E27" i="93"/>
  <c r="E26" i="93"/>
  <c r="E25" i="93"/>
  <c r="E23" i="93"/>
  <c r="E22" i="93"/>
  <c r="M17" i="78"/>
  <c r="G17" i="78"/>
  <c r="M16" i="78"/>
  <c r="G16" i="78"/>
  <c r="M15" i="78"/>
  <c r="G15" i="78"/>
  <c r="F16" i="78"/>
  <c r="F17" i="78"/>
  <c r="F15" i="78"/>
  <c r="E73" i="78"/>
  <c r="E72" i="78"/>
  <c r="E71" i="78"/>
  <c r="E69" i="78"/>
  <c r="E68" i="78"/>
  <c r="E67" i="78"/>
  <c r="E65" i="78"/>
  <c r="E64" i="78"/>
  <c r="E63" i="78"/>
  <c r="E60" i="78"/>
  <c r="E59" i="78"/>
  <c r="E57" i="78"/>
  <c r="E56" i="78"/>
  <c r="E55" i="78"/>
  <c r="E53" i="78"/>
  <c r="E52" i="78"/>
  <c r="E51" i="78"/>
  <c r="E49" i="78"/>
  <c r="E48" i="78"/>
  <c r="E47" i="78"/>
  <c r="E45" i="78"/>
  <c r="E44" i="78"/>
  <c r="E43" i="78"/>
  <c r="E41" i="78"/>
  <c r="E40" i="78"/>
  <c r="E39" i="78"/>
  <c r="E37" i="78"/>
  <c r="E36" i="78"/>
  <c r="E35" i="78"/>
  <c r="E33" i="78"/>
  <c r="E32" i="78"/>
  <c r="E31" i="78"/>
  <c r="E29" i="78"/>
  <c r="E28" i="78"/>
  <c r="E27" i="78"/>
  <c r="E25" i="78"/>
  <c r="E24" i="78"/>
  <c r="E20" i="78"/>
  <c r="E21" i="78"/>
  <c r="E38" i="110"/>
  <c r="E37" i="110"/>
  <c r="E36" i="110"/>
  <c r="E34" i="110"/>
  <c r="E33" i="110"/>
  <c r="E32" i="110"/>
  <c r="E30" i="110"/>
  <c r="E29" i="110"/>
  <c r="E28" i="110"/>
  <c r="E26" i="110"/>
  <c r="E25" i="110"/>
  <c r="E24" i="110"/>
  <c r="E22" i="110"/>
  <c r="E21" i="110"/>
  <c r="E20" i="110"/>
  <c r="E18" i="110"/>
  <c r="E17" i="110"/>
  <c r="E16" i="110"/>
  <c r="J14" i="110"/>
  <c r="I14" i="110"/>
  <c r="H14" i="110"/>
  <c r="G14" i="110"/>
  <c r="F14" i="110"/>
  <c r="J13" i="110"/>
  <c r="I13" i="110"/>
  <c r="H13" i="110"/>
  <c r="G13" i="110"/>
  <c r="F13" i="110"/>
  <c r="J12" i="110"/>
  <c r="I12" i="110"/>
  <c r="H12" i="110"/>
  <c r="G12" i="110"/>
  <c r="F12" i="110"/>
  <c r="E39" i="109"/>
  <c r="E37" i="109"/>
  <c r="E35" i="109"/>
  <c r="E34" i="109"/>
  <c r="E33" i="109"/>
  <c r="E31" i="109"/>
  <c r="E30" i="109"/>
  <c r="E29" i="109"/>
  <c r="E27" i="109"/>
  <c r="E26" i="109"/>
  <c r="E25" i="109"/>
  <c r="E23" i="109"/>
  <c r="E22" i="109"/>
  <c r="E21" i="109"/>
  <c r="E19" i="109"/>
  <c r="E18" i="109"/>
  <c r="E17" i="109"/>
  <c r="G14" i="109"/>
  <c r="F14" i="109"/>
  <c r="E14" i="109" s="1"/>
  <c r="G13" i="109"/>
  <c r="F13" i="109"/>
  <c r="E69" i="108"/>
  <c r="E68" i="108"/>
  <c r="E67" i="108"/>
  <c r="E65" i="108"/>
  <c r="E64" i="108"/>
  <c r="E63" i="108"/>
  <c r="E57" i="108"/>
  <c r="E56" i="108"/>
  <c r="E55" i="108"/>
  <c r="E60" i="108"/>
  <c r="E59" i="108"/>
  <c r="E45" i="108"/>
  <c r="E44" i="108"/>
  <c r="E43" i="108"/>
  <c r="E49" i="108"/>
  <c r="E47" i="108"/>
  <c r="E37" i="108"/>
  <c r="E35" i="108"/>
  <c r="E33" i="108"/>
  <c r="E32" i="108"/>
  <c r="E31" i="108"/>
  <c r="E29" i="108"/>
  <c r="E28" i="108"/>
  <c r="E27" i="108"/>
  <c r="E25" i="108"/>
  <c r="E24" i="108"/>
  <c r="E23" i="108"/>
  <c r="E21" i="108"/>
  <c r="E20" i="108"/>
  <c r="E19" i="108"/>
  <c r="E17" i="108"/>
  <c r="E16" i="108"/>
  <c r="E15" i="108"/>
  <c r="E11" i="108"/>
  <c r="E15" i="93" l="1"/>
  <c r="E13" i="93"/>
  <c r="E12" i="110"/>
  <c r="E14" i="93"/>
  <c r="E13" i="109"/>
  <c r="E13" i="110"/>
  <c r="E17" i="78"/>
  <c r="E16" i="78"/>
  <c r="E14" i="110"/>
  <c r="E39" i="107"/>
  <c r="E38" i="107"/>
  <c r="E37" i="107"/>
  <c r="E35" i="107"/>
  <c r="E34" i="107"/>
  <c r="E33" i="107"/>
  <c r="E31" i="107"/>
  <c r="E30" i="107"/>
  <c r="E29" i="107"/>
  <c r="E27" i="107"/>
  <c r="E26" i="107"/>
  <c r="E25" i="107"/>
  <c r="E23" i="107"/>
  <c r="E22" i="107"/>
  <c r="E21" i="107"/>
  <c r="E19" i="107"/>
  <c r="E18" i="107"/>
  <c r="E17" i="107"/>
  <c r="E14" i="107"/>
  <c r="E13" i="107"/>
  <c r="E43" i="106"/>
  <c r="E42" i="106"/>
  <c r="E41" i="106"/>
  <c r="E39" i="106"/>
  <c r="E38" i="106"/>
  <c r="E37" i="106"/>
  <c r="E35" i="106"/>
  <c r="E34" i="106"/>
  <c r="E33" i="106"/>
  <c r="E31" i="106"/>
  <c r="E30" i="106"/>
  <c r="E29" i="106"/>
  <c r="E27" i="106"/>
  <c r="E26" i="106"/>
  <c r="E25" i="106"/>
  <c r="E23" i="106"/>
  <c r="E22" i="106"/>
  <c r="E21" i="106"/>
  <c r="E19" i="106"/>
  <c r="E18" i="106"/>
  <c r="E17" i="106"/>
  <c r="L15" i="106"/>
  <c r="E14" i="106"/>
  <c r="E75" i="105"/>
  <c r="E74" i="105"/>
  <c r="E73" i="105"/>
  <c r="E71" i="105"/>
  <c r="E70" i="105"/>
  <c r="E69" i="105"/>
  <c r="E67" i="105"/>
  <c r="E66" i="105"/>
  <c r="E65" i="105"/>
  <c r="E63" i="105"/>
  <c r="E62" i="105"/>
  <c r="E61" i="105"/>
  <c r="E59" i="105"/>
  <c r="E58" i="105"/>
  <c r="E57" i="105"/>
  <c r="E55" i="105"/>
  <c r="E54" i="105"/>
  <c r="E53" i="105"/>
  <c r="E51" i="105"/>
  <c r="E50" i="105"/>
  <c r="E49" i="105"/>
  <c r="E47" i="105"/>
  <c r="E46" i="105"/>
  <c r="E45" i="105"/>
  <c r="E43" i="105"/>
  <c r="E42" i="105"/>
  <c r="E41" i="105"/>
  <c r="E39" i="105"/>
  <c r="E38" i="105"/>
  <c r="E37" i="105"/>
  <c r="E35" i="105"/>
  <c r="E34" i="105"/>
  <c r="E33" i="105"/>
  <c r="E31" i="105"/>
  <c r="E30" i="105"/>
  <c r="E29" i="105"/>
  <c r="E27" i="105"/>
  <c r="E26" i="105"/>
  <c r="E25" i="105"/>
  <c r="E23" i="105"/>
  <c r="E22" i="105"/>
  <c r="E21" i="105"/>
  <c r="E19" i="105"/>
  <c r="E18" i="105"/>
  <c r="E17" i="105"/>
  <c r="E14" i="105"/>
  <c r="E13" i="105"/>
  <c r="E54" i="104"/>
  <c r="E53" i="104"/>
  <c r="E52" i="104"/>
  <c r="E50" i="104"/>
  <c r="E49" i="104"/>
  <c r="E48" i="104"/>
  <c r="E46" i="104"/>
  <c r="E45" i="104"/>
  <c r="E44" i="104"/>
  <c r="E42" i="104"/>
  <c r="E41" i="104"/>
  <c r="E40" i="104"/>
  <c r="E38" i="104"/>
  <c r="E37" i="104"/>
  <c r="E36" i="104"/>
  <c r="E34" i="104"/>
  <c r="E33" i="104"/>
  <c r="E32" i="104"/>
  <c r="E30" i="104"/>
  <c r="E29" i="104"/>
  <c r="E28" i="104"/>
  <c r="E26" i="104"/>
  <c r="E25" i="104"/>
  <c r="E24" i="104"/>
  <c r="E22" i="104"/>
  <c r="E21" i="104"/>
  <c r="E20" i="104"/>
  <c r="E18" i="104"/>
  <c r="E17" i="104"/>
  <c r="E16" i="104"/>
  <c r="E53" i="103"/>
  <c r="E52" i="103"/>
  <c r="E51" i="103"/>
  <c r="E49" i="103"/>
  <c r="E48" i="103"/>
  <c r="E47" i="103"/>
  <c r="E45" i="103"/>
  <c r="E44" i="103"/>
  <c r="E43" i="103"/>
  <c r="E41" i="103"/>
  <c r="E40" i="103"/>
  <c r="E39" i="103"/>
  <c r="E37" i="103"/>
  <c r="E36" i="103"/>
  <c r="E35" i="103"/>
  <c r="E33" i="103"/>
  <c r="E32" i="103"/>
  <c r="E31" i="103"/>
  <c r="E29" i="103"/>
  <c r="E28" i="103"/>
  <c r="E27" i="103"/>
  <c r="E25" i="103"/>
  <c r="E24" i="103"/>
  <c r="E23" i="103"/>
  <c r="E21" i="103"/>
  <c r="E20" i="103"/>
  <c r="E19" i="103"/>
  <c r="E17" i="103"/>
  <c r="E16" i="103"/>
  <c r="E15" i="103"/>
  <c r="E47" i="102"/>
  <c r="E46" i="102"/>
  <c r="E45" i="102"/>
  <c r="E43" i="102"/>
  <c r="E42" i="102"/>
  <c r="E41" i="102"/>
  <c r="E39" i="102"/>
  <c r="E38" i="102"/>
  <c r="E37" i="102"/>
  <c r="E35" i="102"/>
  <c r="E34" i="102"/>
  <c r="E33" i="102"/>
  <c r="E31" i="102"/>
  <c r="E30" i="102"/>
  <c r="E29" i="102"/>
  <c r="E27" i="102"/>
  <c r="E26" i="102"/>
  <c r="E25" i="102"/>
  <c r="E23" i="102"/>
  <c r="E22" i="102"/>
  <c r="E21" i="102"/>
  <c r="E19" i="102"/>
  <c r="E18" i="102"/>
  <c r="E17" i="102"/>
  <c r="E57" i="101"/>
  <c r="E56" i="101"/>
  <c r="E55" i="101"/>
  <c r="E53" i="101"/>
  <c r="E52" i="101"/>
  <c r="E51" i="101"/>
  <c r="E49" i="101"/>
  <c r="E48" i="101"/>
  <c r="E47" i="101"/>
  <c r="E45" i="101"/>
  <c r="E44" i="101"/>
  <c r="E43" i="101"/>
  <c r="E41" i="101"/>
  <c r="E40" i="101"/>
  <c r="E39" i="101"/>
  <c r="E37" i="101"/>
  <c r="E36" i="101"/>
  <c r="E35" i="101"/>
  <c r="E33" i="101"/>
  <c r="E32" i="101"/>
  <c r="E31" i="101"/>
  <c r="E29" i="101"/>
  <c r="E28" i="101"/>
  <c r="E27" i="101"/>
  <c r="E25" i="101"/>
  <c r="E24" i="101"/>
  <c r="E23" i="101"/>
  <c r="E21" i="101"/>
  <c r="E20" i="101"/>
  <c r="E19" i="101"/>
  <c r="E17" i="101"/>
  <c r="E16" i="101"/>
  <c r="E15" i="101"/>
  <c r="E51" i="100"/>
  <c r="E50" i="100"/>
  <c r="E49" i="100"/>
  <c r="E47" i="100"/>
  <c r="E46" i="100"/>
  <c r="E45" i="100"/>
  <c r="E43" i="100"/>
  <c r="E42" i="100"/>
  <c r="E41" i="100"/>
  <c r="E39" i="100"/>
  <c r="E38" i="100"/>
  <c r="E37" i="100"/>
  <c r="E35" i="100"/>
  <c r="E34" i="100"/>
  <c r="E33" i="100"/>
  <c r="E31" i="100"/>
  <c r="E30" i="100"/>
  <c r="E29" i="100"/>
  <c r="E27" i="100"/>
  <c r="E26" i="100"/>
  <c r="E25" i="100"/>
  <c r="E23" i="100"/>
  <c r="E22" i="100"/>
  <c r="E21" i="100"/>
  <c r="E19" i="100"/>
  <c r="E18" i="100"/>
  <c r="E17" i="100"/>
  <c r="E34" i="99"/>
  <c r="L32" i="99"/>
  <c r="E31" i="99"/>
  <c r="E30" i="99"/>
  <c r="K26" i="99"/>
  <c r="E26" i="99" s="1"/>
  <c r="K22" i="99"/>
  <c r="F22" i="99"/>
  <c r="K18" i="99"/>
  <c r="F18" i="99"/>
  <c r="E17" i="99"/>
  <c r="J14" i="99"/>
  <c r="I14" i="99"/>
  <c r="H14" i="99"/>
  <c r="G14" i="99"/>
  <c r="E13" i="99"/>
  <c r="E59" i="97"/>
  <c r="E58" i="97"/>
  <c r="E57" i="97"/>
  <c r="E55" i="97"/>
  <c r="E54" i="97"/>
  <c r="E53" i="97"/>
  <c r="E51" i="97"/>
  <c r="E50" i="97"/>
  <c r="E49" i="97"/>
  <c r="E47" i="97"/>
  <c r="E46" i="97"/>
  <c r="E45" i="97"/>
  <c r="E43" i="97"/>
  <c r="E42" i="97"/>
  <c r="E41" i="97"/>
  <c r="E39" i="97"/>
  <c r="E38" i="97"/>
  <c r="E37" i="97"/>
  <c r="E35" i="97"/>
  <c r="E34" i="97"/>
  <c r="E33" i="97"/>
  <c r="E31" i="97"/>
  <c r="E30" i="97"/>
  <c r="E29" i="97"/>
  <c r="E26" i="97"/>
  <c r="E25" i="97"/>
  <c r="E23" i="97"/>
  <c r="E22" i="97"/>
  <c r="E21" i="97"/>
  <c r="E19" i="97"/>
  <c r="E18" i="97"/>
  <c r="E17" i="97"/>
  <c r="E14" i="97"/>
  <c r="E13" i="97"/>
  <c r="E64" i="96"/>
  <c r="E63" i="96"/>
  <c r="E62" i="96"/>
  <c r="E60" i="96"/>
  <c r="E59" i="96"/>
  <c r="E58" i="96"/>
  <c r="E56" i="96"/>
  <c r="E55" i="96"/>
  <c r="E54" i="96"/>
  <c r="E52" i="96"/>
  <c r="E51" i="96"/>
  <c r="E50" i="96"/>
  <c r="E48" i="96"/>
  <c r="E47" i="96"/>
  <c r="E46" i="96"/>
  <c r="E44" i="96"/>
  <c r="E43" i="96"/>
  <c r="E42" i="96"/>
  <c r="E40" i="96"/>
  <c r="E39" i="96"/>
  <c r="E38" i="96"/>
  <c r="E36" i="96"/>
  <c r="E35" i="96"/>
  <c r="E34" i="96"/>
  <c r="E32" i="96"/>
  <c r="E31" i="96"/>
  <c r="E30" i="96"/>
  <c r="E27" i="96"/>
  <c r="E26" i="96"/>
  <c r="E25" i="96"/>
  <c r="E23" i="96"/>
  <c r="E22" i="96"/>
  <c r="E21" i="96"/>
  <c r="E19" i="96"/>
  <c r="E18" i="96"/>
  <c r="E17" i="96"/>
  <c r="E15" i="96"/>
  <c r="E14" i="96"/>
  <c r="E13" i="96"/>
  <c r="E55" i="95"/>
  <c r="E54" i="95"/>
  <c r="E53" i="95"/>
  <c r="E51" i="95"/>
  <c r="E50" i="95"/>
  <c r="E49" i="95"/>
  <c r="E47" i="95"/>
  <c r="E46" i="95"/>
  <c r="E45" i="95"/>
  <c r="E43" i="95"/>
  <c r="E42" i="95"/>
  <c r="E41" i="95"/>
  <c r="E39" i="95"/>
  <c r="E38" i="95"/>
  <c r="E37" i="95"/>
  <c r="E35" i="95"/>
  <c r="E34" i="95"/>
  <c r="E33" i="95"/>
  <c r="E31" i="95"/>
  <c r="E30" i="95"/>
  <c r="E29" i="95"/>
  <c r="E27" i="95"/>
  <c r="E26" i="95"/>
  <c r="E25" i="95"/>
  <c r="E23" i="95"/>
  <c r="E22" i="95"/>
  <c r="E21" i="95"/>
  <c r="E19" i="95"/>
  <c r="E18" i="95"/>
  <c r="E17" i="95"/>
  <c r="L15" i="95"/>
  <c r="E14" i="95"/>
  <c r="E13" i="95"/>
  <c r="E59" i="94"/>
  <c r="E58" i="94"/>
  <c r="E57" i="94"/>
  <c r="E55" i="94"/>
  <c r="E54" i="94"/>
  <c r="E53" i="94"/>
  <c r="E51" i="94"/>
  <c r="E50" i="94"/>
  <c r="E49" i="94"/>
  <c r="E47" i="94"/>
  <c r="E46" i="94"/>
  <c r="E45" i="94"/>
  <c r="E43" i="94"/>
  <c r="E42" i="94"/>
  <c r="E41" i="94"/>
  <c r="E39" i="94"/>
  <c r="E38" i="94"/>
  <c r="E37" i="94"/>
  <c r="E35" i="94"/>
  <c r="E34" i="94"/>
  <c r="E33" i="94"/>
  <c r="E31" i="94"/>
  <c r="E30" i="94"/>
  <c r="E29" i="94"/>
  <c r="E27" i="94"/>
  <c r="E26" i="94"/>
  <c r="E25" i="94"/>
  <c r="E23" i="94"/>
  <c r="E22" i="94"/>
  <c r="E21" i="94"/>
  <c r="E19" i="94"/>
  <c r="E18" i="94"/>
  <c r="E17" i="94"/>
  <c r="E15" i="94"/>
  <c r="E14" i="94"/>
  <c r="E13" i="94"/>
  <c r="E19" i="93"/>
  <c r="E18" i="93"/>
  <c r="E17" i="93"/>
  <c r="E41" i="92"/>
  <c r="E40" i="92"/>
  <c r="E39" i="92"/>
  <c r="E37" i="92"/>
  <c r="E36" i="92"/>
  <c r="E35" i="92"/>
  <c r="E33" i="92"/>
  <c r="E32" i="92"/>
  <c r="E31" i="92"/>
  <c r="E29" i="92"/>
  <c r="E28" i="92"/>
  <c r="E27" i="92"/>
  <c r="E25" i="92"/>
  <c r="E24" i="92"/>
  <c r="E23" i="92"/>
  <c r="E21" i="92"/>
  <c r="E20" i="92"/>
  <c r="E19" i="92"/>
  <c r="E17" i="92"/>
  <c r="E16" i="92"/>
  <c r="E15" i="92"/>
  <c r="E45" i="91"/>
  <c r="E44" i="91"/>
  <c r="E43" i="91"/>
  <c r="E41" i="91"/>
  <c r="E40" i="91"/>
  <c r="E39" i="91"/>
  <c r="E37" i="91"/>
  <c r="E36" i="91"/>
  <c r="E35" i="91"/>
  <c r="E33" i="91"/>
  <c r="E32" i="91"/>
  <c r="E31" i="91"/>
  <c r="E29" i="91"/>
  <c r="E28" i="91"/>
  <c r="E27" i="91"/>
  <c r="E25" i="91"/>
  <c r="E24" i="91"/>
  <c r="E23" i="91"/>
  <c r="E21" i="91"/>
  <c r="E20" i="91"/>
  <c r="E19" i="91"/>
  <c r="E17" i="91"/>
  <c r="E16" i="91"/>
  <c r="E15" i="91"/>
  <c r="E77" i="90"/>
  <c r="E76" i="90"/>
  <c r="E75" i="90"/>
  <c r="E73" i="90"/>
  <c r="E72" i="90"/>
  <c r="E71" i="90"/>
  <c r="E69" i="90"/>
  <c r="E68" i="90"/>
  <c r="E67" i="90"/>
  <c r="E65" i="90"/>
  <c r="E64" i="90"/>
  <c r="E63" i="90"/>
  <c r="E61" i="90"/>
  <c r="E60" i="90"/>
  <c r="E59" i="90"/>
  <c r="E57" i="90"/>
  <c r="E56" i="90"/>
  <c r="E55" i="90"/>
  <c r="E53" i="90"/>
  <c r="E52" i="90"/>
  <c r="E51" i="90"/>
  <c r="E49" i="90"/>
  <c r="E48" i="90"/>
  <c r="E47" i="90"/>
  <c r="E45" i="90"/>
  <c r="E44" i="90"/>
  <c r="E43" i="90"/>
  <c r="E41" i="90"/>
  <c r="E40" i="90"/>
  <c r="E39" i="90"/>
  <c r="E37" i="90"/>
  <c r="E36" i="90"/>
  <c r="E35" i="90"/>
  <c r="E33" i="90"/>
  <c r="E32" i="90"/>
  <c r="E31" i="90"/>
  <c r="E29" i="90"/>
  <c r="E28" i="90"/>
  <c r="E27" i="90"/>
  <c r="E25" i="90"/>
  <c r="E24" i="90"/>
  <c r="E23" i="90"/>
  <c r="E21" i="90"/>
  <c r="E20" i="90"/>
  <c r="N17" i="90"/>
  <c r="E16" i="90"/>
  <c r="E15" i="90"/>
  <c r="E55" i="89"/>
  <c r="E54" i="89"/>
  <c r="E53" i="89"/>
  <c r="E51" i="89"/>
  <c r="E50" i="89"/>
  <c r="E49" i="89"/>
  <c r="E47" i="89"/>
  <c r="E46" i="89"/>
  <c r="E45" i="89"/>
  <c r="E43" i="89"/>
  <c r="E42" i="89"/>
  <c r="E41" i="89"/>
  <c r="E39" i="89"/>
  <c r="E38" i="89"/>
  <c r="E37" i="89"/>
  <c r="E35" i="89"/>
  <c r="E34" i="89"/>
  <c r="E33" i="89"/>
  <c r="E31" i="89"/>
  <c r="E30" i="89"/>
  <c r="E29" i="89"/>
  <c r="E27" i="89"/>
  <c r="E26" i="89"/>
  <c r="E25" i="89"/>
  <c r="E23" i="89"/>
  <c r="E22" i="89"/>
  <c r="E21" i="89"/>
  <c r="E19" i="89"/>
  <c r="E18" i="89"/>
  <c r="E17" i="89"/>
  <c r="E55" i="88"/>
  <c r="E54" i="88"/>
  <c r="E53" i="88"/>
  <c r="E51" i="88"/>
  <c r="E50" i="88"/>
  <c r="E49" i="88"/>
  <c r="E47" i="88"/>
  <c r="E46" i="88"/>
  <c r="E45" i="88"/>
  <c r="E43" i="88"/>
  <c r="E42" i="88"/>
  <c r="E41" i="88"/>
  <c r="E39" i="88"/>
  <c r="E38" i="88"/>
  <c r="E37" i="88"/>
  <c r="E35" i="88"/>
  <c r="E34" i="88"/>
  <c r="E33" i="88"/>
  <c r="E31" i="88"/>
  <c r="E30" i="88"/>
  <c r="E29" i="88"/>
  <c r="E27" i="88"/>
  <c r="E26" i="88"/>
  <c r="E25" i="88"/>
  <c r="E23" i="88"/>
  <c r="E22" i="88"/>
  <c r="E21" i="88"/>
  <c r="E19" i="88"/>
  <c r="E18" i="88"/>
  <c r="E17" i="88"/>
  <c r="E49" i="87"/>
  <c r="E48" i="87"/>
  <c r="E47" i="87"/>
  <c r="E45" i="87"/>
  <c r="E44" i="87"/>
  <c r="E43" i="87"/>
  <c r="E41" i="87"/>
  <c r="E40" i="87"/>
  <c r="E39" i="87"/>
  <c r="E37" i="87"/>
  <c r="E36" i="87"/>
  <c r="E35" i="87"/>
  <c r="E33" i="87"/>
  <c r="E32" i="87"/>
  <c r="E31" i="87"/>
  <c r="E29" i="87"/>
  <c r="E28" i="87"/>
  <c r="E27" i="87"/>
  <c r="E25" i="87"/>
  <c r="E24" i="87"/>
  <c r="E23" i="87"/>
  <c r="E21" i="87"/>
  <c r="E20" i="87"/>
  <c r="E19" i="87"/>
  <c r="N17" i="87"/>
  <c r="E57" i="86"/>
  <c r="E54" i="86"/>
  <c r="E53" i="86"/>
  <c r="E51" i="86"/>
  <c r="E50" i="86"/>
  <c r="E49" i="86"/>
  <c r="E46" i="86"/>
  <c r="E45" i="86"/>
  <c r="E43" i="86"/>
  <c r="E42" i="86"/>
  <c r="E41" i="86"/>
  <c r="E38" i="86"/>
  <c r="E37" i="86"/>
  <c r="E34" i="86"/>
  <c r="E33" i="86"/>
  <c r="E30" i="86"/>
  <c r="E29" i="86"/>
  <c r="E26" i="86"/>
  <c r="E25" i="86"/>
  <c r="E22" i="86"/>
  <c r="E21" i="86"/>
  <c r="E18" i="86"/>
  <c r="E17" i="86"/>
  <c r="E53" i="85"/>
  <c r="E52" i="85"/>
  <c r="E51" i="85"/>
  <c r="E48" i="85"/>
  <c r="E47" i="85"/>
  <c r="E45" i="85"/>
  <c r="E44" i="85"/>
  <c r="E43" i="85"/>
  <c r="E40" i="85"/>
  <c r="E39" i="85"/>
  <c r="E36" i="85"/>
  <c r="E32" i="85"/>
  <c r="E31" i="85"/>
  <c r="E28" i="85"/>
  <c r="E27" i="85"/>
  <c r="E24" i="85"/>
  <c r="E23" i="85"/>
  <c r="E21" i="85"/>
  <c r="E20" i="85"/>
  <c r="E19" i="85"/>
  <c r="N17" i="85"/>
  <c r="E16" i="85"/>
  <c r="E53" i="84"/>
  <c r="E52" i="84"/>
  <c r="E49" i="84"/>
  <c r="E48" i="84"/>
  <c r="E45" i="84"/>
  <c r="E44" i="84"/>
  <c r="E41" i="84"/>
  <c r="E40" i="84"/>
  <c r="E38" i="84"/>
  <c r="E37" i="84"/>
  <c r="E36" i="84"/>
  <c r="E33" i="84"/>
  <c r="E32" i="84"/>
  <c r="E19" i="84"/>
  <c r="F16" i="84"/>
  <c r="E15" i="84"/>
  <c r="E19" i="82"/>
  <c r="E17" i="82"/>
  <c r="E16" i="82"/>
  <c r="E15" i="82"/>
  <c r="E36" i="81"/>
  <c r="E33" i="81"/>
  <c r="E32" i="81"/>
  <c r="E29" i="81"/>
  <c r="E28" i="81"/>
  <c r="E27" i="81"/>
  <c r="E24" i="81"/>
  <c r="E23" i="81"/>
  <c r="E20" i="81"/>
  <c r="E19" i="81"/>
  <c r="E16" i="81"/>
  <c r="E15" i="81"/>
  <c r="E16" i="80"/>
  <c r="E15" i="80"/>
  <c r="E61" i="79"/>
  <c r="E60" i="79"/>
  <c r="E59" i="79"/>
  <c r="E57" i="79"/>
  <c r="E56" i="79"/>
  <c r="E55" i="79"/>
  <c r="E53" i="79"/>
  <c r="E52" i="79"/>
  <c r="E51" i="79"/>
  <c r="E49" i="79"/>
  <c r="E48" i="79"/>
  <c r="E47" i="79"/>
  <c r="E45" i="79"/>
  <c r="E44" i="79"/>
  <c r="E43" i="79"/>
  <c r="E41" i="79"/>
  <c r="E40" i="79"/>
  <c r="E39" i="79"/>
  <c r="E37" i="79"/>
  <c r="E36" i="79"/>
  <c r="E35" i="79"/>
  <c r="E33" i="79"/>
  <c r="E32" i="79"/>
  <c r="E31" i="79"/>
  <c r="E29" i="79"/>
  <c r="E28" i="79"/>
  <c r="E27" i="79"/>
  <c r="E25" i="79"/>
  <c r="E24" i="79"/>
  <c r="E23" i="79"/>
  <c r="E21" i="79"/>
  <c r="E20" i="79"/>
  <c r="E19" i="79"/>
  <c r="E17" i="79"/>
  <c r="E16" i="79"/>
  <c r="E15" i="79"/>
  <c r="E19" i="78"/>
  <c r="E15" i="78"/>
  <c r="E18" i="99" l="1"/>
  <c r="F14" i="99"/>
  <c r="E22" i="99"/>
  <c r="E16" i="84"/>
  <c r="E15" i="87"/>
  <c r="E16" i="87"/>
  <c r="E17" i="87"/>
  <c r="K14" i="99"/>
  <c r="E15" i="105"/>
  <c r="E17" i="81"/>
  <c r="E15" i="95"/>
  <c r="E17" i="80"/>
  <c r="E17" i="85"/>
  <c r="E32" i="99"/>
  <c r="E15" i="97"/>
  <c r="E15" i="106"/>
  <c r="E15" i="107"/>
  <c r="E27" i="97"/>
  <c r="E14" i="99" l="1"/>
  <c r="E13" i="57"/>
  <c r="E53" i="57" l="1"/>
  <c r="E49" i="57"/>
  <c r="E45" i="57"/>
  <c r="E41" i="57"/>
  <c r="E37" i="57"/>
  <c r="E33" i="57"/>
  <c r="E29" i="57"/>
  <c r="E25" i="57"/>
  <c r="E21" i="57"/>
  <c r="E17" i="57"/>
  <c r="E13" i="74" l="1"/>
  <c r="E13" i="47"/>
  <c r="E13" i="59"/>
  <c r="E30" i="58"/>
  <c r="E25" i="58"/>
  <c r="E21" i="58"/>
  <c r="E17" i="58"/>
  <c r="E13" i="58"/>
  <c r="E13" i="73" l="1"/>
  <c r="E21" i="55" l="1"/>
  <c r="E23" i="55"/>
  <c r="E29" i="58" l="1"/>
  <c r="E24" i="58"/>
  <c r="E23" i="58"/>
  <c r="E20" i="58"/>
  <c r="E19" i="58"/>
  <c r="E16" i="58"/>
  <c r="E15" i="58"/>
  <c r="E15" i="57"/>
  <c r="E16" i="57"/>
  <c r="E19" i="57"/>
  <c r="E20" i="57"/>
  <c r="E23" i="57"/>
  <c r="E24" i="57"/>
  <c r="E27" i="57"/>
  <c r="E28" i="57"/>
  <c r="E31" i="57"/>
  <c r="E32" i="57"/>
  <c r="E35" i="57"/>
  <c r="E36" i="57"/>
  <c r="E39" i="57"/>
  <c r="E40" i="57"/>
  <c r="E43" i="57"/>
  <c r="E44" i="57"/>
  <c r="E47" i="57"/>
  <c r="E48" i="57"/>
  <c r="E51" i="57"/>
  <c r="E52" i="57"/>
  <c r="E15" i="56"/>
  <c r="E16" i="56"/>
  <c r="E17" i="56"/>
  <c r="E19" i="56"/>
  <c r="E20" i="56"/>
  <c r="E21" i="56"/>
  <c r="E23" i="56"/>
  <c r="E24" i="56"/>
  <c r="E25" i="56"/>
  <c r="E27" i="56"/>
  <c r="E28" i="56"/>
  <c r="E29" i="56"/>
  <c r="E31" i="56"/>
  <c r="E32" i="56"/>
  <c r="E33" i="56"/>
  <c r="E35" i="56"/>
  <c r="E36" i="56"/>
  <c r="E37" i="56"/>
  <c r="E39" i="56"/>
  <c r="E40" i="56"/>
  <c r="E41" i="56"/>
  <c r="E43" i="56"/>
  <c r="E44" i="56"/>
  <c r="E45" i="56"/>
  <c r="E47" i="56"/>
  <c r="E48" i="56"/>
  <c r="E49" i="56"/>
  <c r="E51" i="56"/>
  <c r="E52" i="56"/>
  <c r="E53" i="56"/>
  <c r="E55" i="56"/>
  <c r="E56" i="56"/>
  <c r="E57" i="56"/>
  <c r="E24" i="55"/>
  <c r="E25" i="55"/>
  <c r="E27" i="55"/>
  <c r="E28" i="55"/>
  <c r="E29" i="55"/>
  <c r="E31" i="55"/>
  <c r="E32" i="55"/>
  <c r="E33" i="55"/>
  <c r="E35" i="55"/>
  <c r="E36" i="55"/>
  <c r="E37" i="55"/>
  <c r="E39" i="55"/>
  <c r="E40" i="55"/>
  <c r="E41" i="55"/>
  <c r="E43" i="55"/>
  <c r="E44" i="55"/>
  <c r="E45" i="55"/>
  <c r="E47" i="55"/>
  <c r="E48" i="55"/>
  <c r="E49" i="55"/>
  <c r="E51" i="55"/>
  <c r="E52" i="55"/>
  <c r="E53" i="55"/>
  <c r="E55" i="55"/>
  <c r="E56" i="55"/>
  <c r="E59" i="55"/>
  <c r="E60" i="55"/>
  <c r="E61" i="55"/>
  <c r="E63" i="55"/>
  <c r="E64" i="55"/>
  <c r="E65" i="55"/>
  <c r="E67" i="55"/>
  <c r="E68" i="55"/>
  <c r="E69" i="55"/>
  <c r="E12" i="63"/>
  <c r="E11" i="63"/>
  <c r="E12" i="69"/>
  <c r="E13" i="69"/>
  <c r="E11" i="69"/>
  <c r="E12" i="74"/>
  <c r="E12" i="73"/>
  <c r="E11" i="73"/>
  <c r="E13" i="63"/>
  <c r="E12" i="47"/>
  <c r="E11" i="47"/>
  <c r="E12" i="59"/>
  <c r="E11" i="59"/>
  <c r="E13" i="55" l="1"/>
  <c r="E11" i="55"/>
  <c r="E11" i="58"/>
  <c r="E12" i="55"/>
  <c r="E12" i="58"/>
  <c r="E11" i="56"/>
  <c r="E28" i="58"/>
  <c r="E13" i="56"/>
  <c r="E12" i="56"/>
  <c r="E12" i="57"/>
  <c r="E11" i="57"/>
</calcChain>
</file>

<file path=xl/sharedStrings.xml><?xml version="1.0" encoding="utf-8"?>
<sst xmlns="http://schemas.openxmlformats.org/spreadsheetml/2006/main" count="3226" uniqueCount="273">
  <si>
    <t>Sumber: Polis DiRaja Malaysia</t>
  </si>
  <si>
    <t>Source: Royal Malaysia Police</t>
  </si>
  <si>
    <t>Batu Pahat</t>
  </si>
  <si>
    <t>Kluang</t>
  </si>
  <si>
    <t>Kota Tinggi</t>
  </si>
  <si>
    <t>Mersing</t>
  </si>
  <si>
    <t>Muar</t>
  </si>
  <si>
    <t>Pontian</t>
  </si>
  <si>
    <t>Segamat</t>
  </si>
  <si>
    <t>Kulaijaya</t>
  </si>
  <si>
    <t>Ledang</t>
  </si>
  <si>
    <t>Bachok</t>
  </si>
  <si>
    <t>Kota Bharu</t>
  </si>
  <si>
    <t>Machang</t>
  </si>
  <si>
    <t>Pasir Mas</t>
  </si>
  <si>
    <t>Pasir Puteh</t>
  </si>
  <si>
    <t>Tanah Merah</t>
  </si>
  <si>
    <t>Tumpat</t>
  </si>
  <si>
    <t>Gua Musang</t>
  </si>
  <si>
    <t>Kuala Krai</t>
  </si>
  <si>
    <t>Jeli</t>
  </si>
  <si>
    <t>Alor Gajah</t>
  </si>
  <si>
    <t>Jasin</t>
  </si>
  <si>
    <t>Melaka Tengah</t>
  </si>
  <si>
    <t>Jelebu</t>
  </si>
  <si>
    <t>Kuala Pilah</t>
  </si>
  <si>
    <t>Port Dickson</t>
  </si>
  <si>
    <t>Rembau</t>
  </si>
  <si>
    <t>Seremban</t>
  </si>
  <si>
    <t>Tampin</t>
  </si>
  <si>
    <t>Jempol</t>
  </si>
  <si>
    <t>Negeri Sembilan</t>
  </si>
  <si>
    <t>Bentong</t>
  </si>
  <si>
    <t>Cameron Highland</t>
  </si>
  <si>
    <t>Jerantut</t>
  </si>
  <si>
    <t>Kuantan</t>
  </si>
  <si>
    <t>Kuala Lipis</t>
  </si>
  <si>
    <t xml:space="preserve">Pekan </t>
  </si>
  <si>
    <t>Raub</t>
  </si>
  <si>
    <t>Temerloh</t>
  </si>
  <si>
    <t>Rompin</t>
  </si>
  <si>
    <t>Maran</t>
  </si>
  <si>
    <t>Bera</t>
  </si>
  <si>
    <t>Manjung</t>
  </si>
  <si>
    <t>Kerian</t>
  </si>
  <si>
    <t>Kuala Kangsar</t>
  </si>
  <si>
    <t>Hilir Perak</t>
  </si>
  <si>
    <t>Perak Tengah</t>
  </si>
  <si>
    <t>Kampar</t>
  </si>
  <si>
    <t>Perlis</t>
  </si>
  <si>
    <t>Pulau Pinang</t>
  </si>
  <si>
    <t>-</t>
  </si>
  <si>
    <t>Iskandar Puteri</t>
  </si>
  <si>
    <t>Johor Bahru Selatan</t>
  </si>
  <si>
    <t>Johor Bahru Utara</t>
  </si>
  <si>
    <t>Nusajaya</t>
  </si>
  <si>
    <t>Seri Alam</t>
  </si>
  <si>
    <t xml:space="preserve">Baling </t>
  </si>
  <si>
    <t xml:space="preserve">Bandar Bharu </t>
  </si>
  <si>
    <t xml:space="preserve">Kota Setar </t>
  </si>
  <si>
    <t xml:space="preserve">Kuala Muda </t>
  </si>
  <si>
    <t xml:space="preserve">Kubang Pasu </t>
  </si>
  <si>
    <t xml:space="preserve">Kulim </t>
  </si>
  <si>
    <t xml:space="preserve">Langkawi </t>
  </si>
  <si>
    <t xml:space="preserve">Padang Terap </t>
  </si>
  <si>
    <t xml:space="preserve">Pendang </t>
  </si>
  <si>
    <t xml:space="preserve">Sik </t>
  </si>
  <si>
    <t xml:space="preserve">Yan </t>
  </si>
  <si>
    <t>Nilai</t>
  </si>
  <si>
    <t>Batu Gajah</t>
  </si>
  <si>
    <t>Gerik</t>
  </si>
  <si>
    <t>Ipoh</t>
  </si>
  <si>
    <t>Pengkalan Hulu</t>
  </si>
  <si>
    <t>Selama</t>
  </si>
  <si>
    <t>Sungai Siput</t>
  </si>
  <si>
    <t>Taiping</t>
  </si>
  <si>
    <t>Tanjong Malim</t>
  </si>
  <si>
    <t>Tapah</t>
  </si>
  <si>
    <t>Arau</t>
  </si>
  <si>
    <t>Kangar</t>
  </si>
  <si>
    <t>Padang Besar</t>
  </si>
  <si>
    <t xml:space="preserve">Brickfields </t>
  </si>
  <si>
    <t xml:space="preserve">Cheras </t>
  </si>
  <si>
    <t xml:space="preserve">Dang Wangi </t>
  </si>
  <si>
    <t xml:space="preserve">Sentul </t>
  </si>
  <si>
    <t xml:space="preserve">Wangsa Maju </t>
  </si>
  <si>
    <t xml:space="preserve">W.P. Putrajaya </t>
  </si>
  <si>
    <t>Barat Daya</t>
  </si>
  <si>
    <t>Seberang Perai Selatan</t>
  </si>
  <si>
    <t xml:space="preserve">Seberang Perai Tengah </t>
  </si>
  <si>
    <t xml:space="preserve">Seberang Perai Utara </t>
  </si>
  <si>
    <t>Timur Laut</t>
  </si>
  <si>
    <t>Jadual 1.2</t>
  </si>
  <si>
    <t>Table 1.2</t>
  </si>
  <si>
    <r>
      <t xml:space="preserve">Jumlah
</t>
    </r>
    <r>
      <rPr>
        <i/>
        <sz val="10"/>
        <rFont val="Arial"/>
        <family val="2"/>
      </rPr>
      <t>Total</t>
    </r>
  </si>
  <si>
    <r>
      <rPr>
        <b/>
        <sz val="10"/>
        <rFont val="Arial"/>
        <family val="2"/>
      </rPr>
      <t xml:space="preserve">Jenayah kekerasan
</t>
    </r>
    <r>
      <rPr>
        <i/>
        <sz val="10"/>
        <rFont val="Arial"/>
        <family val="2"/>
      </rPr>
      <t>Violent crime</t>
    </r>
  </si>
  <si>
    <r>
      <rPr>
        <b/>
        <sz val="10"/>
        <rFont val="Arial"/>
        <family val="2"/>
      </rPr>
      <t xml:space="preserve">Jenayah harta benda
</t>
    </r>
    <r>
      <rPr>
        <i/>
        <sz val="10"/>
        <rFont val="Arial"/>
        <family val="2"/>
      </rPr>
      <t>Property crime</t>
    </r>
  </si>
  <si>
    <t>Johor</t>
  </si>
  <si>
    <r>
      <t xml:space="preserve">Tahun
</t>
    </r>
    <r>
      <rPr>
        <i/>
        <sz val="10"/>
        <rFont val="Arial"/>
        <family val="2"/>
      </rPr>
      <t>Year</t>
    </r>
  </si>
  <si>
    <t>Kedah</t>
  </si>
  <si>
    <t>Pahang</t>
  </si>
  <si>
    <t>Sumber: Polis Diraja Malaysia</t>
  </si>
  <si>
    <t>Selangor</t>
  </si>
  <si>
    <t xml:space="preserve">Ampang Jaya </t>
  </si>
  <si>
    <t>Gombak</t>
  </si>
  <si>
    <t>Hulu Selangor</t>
  </si>
  <si>
    <t>Kajang</t>
  </si>
  <si>
    <t>Klang Selatan</t>
  </si>
  <si>
    <t>Klang Utara</t>
  </si>
  <si>
    <t>Kuala Langat</t>
  </si>
  <si>
    <t>Kuala Selangor</t>
  </si>
  <si>
    <t>Petaling Jaya</t>
  </si>
  <si>
    <t>Sabak Bernam</t>
  </si>
  <si>
    <t>Sepang</t>
  </si>
  <si>
    <t>Serdang</t>
  </si>
  <si>
    <t>Sg. Buloh</t>
  </si>
  <si>
    <t>Shah Alam</t>
  </si>
  <si>
    <t>Subang Jaya</t>
  </si>
  <si>
    <t>Terengganu</t>
  </si>
  <si>
    <t>Besut</t>
  </si>
  <si>
    <t>Dungun</t>
  </si>
  <si>
    <t>Hulu Terengganu</t>
  </si>
  <si>
    <t>Kemaman</t>
  </si>
  <si>
    <t>Kuala Terengganu</t>
  </si>
  <si>
    <t>Marang</t>
  </si>
  <si>
    <t>Setiu</t>
  </si>
  <si>
    <t>Sarawak</t>
  </si>
  <si>
    <t>Bau</t>
  </si>
  <si>
    <t>Belaga</t>
  </si>
  <si>
    <t>Betong</t>
  </si>
  <si>
    <t>Bintulu</t>
  </si>
  <si>
    <t>Dalat</t>
  </si>
  <si>
    <t>Julau</t>
  </si>
  <si>
    <t>Kanowit</t>
  </si>
  <si>
    <t>Kapit</t>
  </si>
  <si>
    <t>Kota Samarahan</t>
  </si>
  <si>
    <t>Kuching</t>
  </si>
  <si>
    <t>Lawas</t>
  </si>
  <si>
    <t>Limbang</t>
  </si>
  <si>
    <t>Lubok Antu</t>
  </si>
  <si>
    <t>Lundu</t>
  </si>
  <si>
    <t>Marudi</t>
  </si>
  <si>
    <t xml:space="preserve">Matu Daro </t>
  </si>
  <si>
    <t>Meradong</t>
  </si>
  <si>
    <t>Miri</t>
  </si>
  <si>
    <t>Mukah</t>
  </si>
  <si>
    <t>Padawan</t>
  </si>
  <si>
    <t>Saratok</t>
  </si>
  <si>
    <t>Sarikei</t>
  </si>
  <si>
    <t>Serian</t>
  </si>
  <si>
    <t>Sibu</t>
  </si>
  <si>
    <t>Simunjan</t>
  </si>
  <si>
    <t>Song</t>
  </si>
  <si>
    <t>Sri Aman</t>
  </si>
  <si>
    <t>Tatau</t>
  </si>
  <si>
    <t>Sabah</t>
  </si>
  <si>
    <t>Beaufort</t>
  </si>
  <si>
    <t>Beluran</t>
  </si>
  <si>
    <t>Keningau</t>
  </si>
  <si>
    <t>Kota Belud</t>
  </si>
  <si>
    <t>Kota Kinabalu</t>
  </si>
  <si>
    <t>Kota Kinabatangan</t>
  </si>
  <si>
    <t>Kota Marudu</t>
  </si>
  <si>
    <t>Kudat</t>
  </si>
  <si>
    <t>Kunak</t>
  </si>
  <si>
    <t>Lahad Datu</t>
  </si>
  <si>
    <t>Papar</t>
  </si>
  <si>
    <t>Penampang</t>
  </si>
  <si>
    <t>Ranau</t>
  </si>
  <si>
    <t>Sandakan</t>
  </si>
  <si>
    <t>Semporna</t>
  </si>
  <si>
    <t>Sipitang</t>
  </si>
  <si>
    <t>Tawau</t>
  </si>
  <si>
    <t>Tenom</t>
  </si>
  <si>
    <t>Tuaran</t>
  </si>
  <si>
    <t>W.P. Labuan</t>
  </si>
  <si>
    <t>Perak</t>
  </si>
  <si>
    <t>W.P. Kuala Lumpur</t>
  </si>
  <si>
    <t xml:space="preserve">Kelantan </t>
  </si>
  <si>
    <t xml:space="preserve">Melaka </t>
  </si>
  <si>
    <t>Sarawak (samb.)</t>
  </si>
  <si>
    <t>OK</t>
  </si>
  <si>
    <t>JENAYAH INDEKS</t>
  </si>
  <si>
    <t>CRIME INDEX</t>
  </si>
  <si>
    <t>Jadual 1.1</t>
  </si>
  <si>
    <t>Table 1.1</t>
  </si>
  <si>
    <r>
      <rPr>
        <b/>
        <sz val="10"/>
        <rFont val="Arial"/>
        <family val="2"/>
      </rPr>
      <t>Negeri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State</t>
    </r>
  </si>
  <si>
    <t>Malaysia</t>
  </si>
  <si>
    <t>Kelantan</t>
  </si>
  <si>
    <t>Melaka</t>
  </si>
  <si>
    <t>Jadual 1.3</t>
  </si>
  <si>
    <t>Table 1.3</t>
  </si>
  <si>
    <t>Jadual 1.5</t>
  </si>
  <si>
    <t>Table 1.5</t>
  </si>
  <si>
    <r>
      <rPr>
        <b/>
        <sz val="10"/>
        <rFont val="Arial"/>
        <family val="2"/>
      </rPr>
      <t xml:space="preserve">Negeri
</t>
    </r>
    <r>
      <rPr>
        <i/>
        <sz val="10"/>
        <rFont val="Arial"/>
        <family val="2"/>
      </rPr>
      <t>State</t>
    </r>
  </si>
  <si>
    <r>
      <rPr>
        <b/>
        <sz val="10"/>
        <rFont val="Arial"/>
        <family val="2"/>
      </rPr>
      <t>Tahun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Year</t>
    </r>
  </si>
  <si>
    <r>
      <t xml:space="preserve">Pecah rumah dan curi           </t>
    </r>
    <r>
      <rPr>
        <i/>
        <sz val="10"/>
        <rFont val="Arial"/>
        <family val="2"/>
      </rPr>
      <t>House break-in and theft</t>
    </r>
  </si>
  <si>
    <r>
      <t xml:space="preserve">Kecurian kenderaan
</t>
    </r>
    <r>
      <rPr>
        <i/>
        <sz val="10"/>
        <rFont val="Arial"/>
        <family val="2"/>
      </rPr>
      <t>Vehicles theft</t>
    </r>
  </si>
  <si>
    <r>
      <t xml:space="preserve">Curi/
Ragut
</t>
    </r>
    <r>
      <rPr>
        <i/>
        <sz val="10"/>
        <rFont val="Arial"/>
        <family val="2"/>
      </rPr>
      <t>Theft</t>
    </r>
    <r>
      <rPr>
        <b/>
        <sz val="10"/>
        <rFont val="Arial"/>
        <family val="2"/>
      </rPr>
      <t xml:space="preserve">/
</t>
    </r>
    <r>
      <rPr>
        <i/>
        <sz val="10"/>
        <rFont val="Arial"/>
        <family val="2"/>
      </rPr>
      <t>Snatch</t>
    </r>
  </si>
  <si>
    <r>
      <t xml:space="preserve">Kecurian lain
</t>
    </r>
    <r>
      <rPr>
        <i/>
        <sz val="10"/>
        <rFont val="Arial"/>
        <family val="2"/>
      </rPr>
      <t>Other theft</t>
    </r>
  </si>
  <si>
    <r>
      <t xml:space="preserve">Lori/van
</t>
    </r>
    <r>
      <rPr>
        <i/>
        <sz val="10"/>
        <rFont val="Arial"/>
        <family val="2"/>
      </rPr>
      <t>Lorry/van</t>
    </r>
  </si>
  <si>
    <r>
      <t xml:space="preserve">Kereta
</t>
    </r>
    <r>
      <rPr>
        <i/>
        <sz val="10"/>
        <rFont val="Arial"/>
        <family val="2"/>
      </rPr>
      <t>Motorcar</t>
    </r>
  </si>
  <si>
    <r>
      <rPr>
        <b/>
        <sz val="10"/>
        <rFont val="Arial"/>
        <family val="2"/>
      </rPr>
      <t>Motosikal/
Skuter</t>
    </r>
    <r>
      <rPr>
        <i/>
        <sz val="10"/>
        <rFont val="Arial"/>
        <family val="2"/>
      </rPr>
      <t xml:space="preserve">
Motorcycle/
scooter</t>
    </r>
    <r>
      <rPr>
        <sz val="10"/>
        <rFont val="Arial"/>
        <family val="2"/>
      </rPr>
      <t xml:space="preserve">
</t>
    </r>
  </si>
  <si>
    <t xml:space="preserve"> </t>
  </si>
  <si>
    <t>Jadual 1.4</t>
  </si>
  <si>
    <t>Table 1.4</t>
  </si>
  <si>
    <r>
      <t>Sabah (samb./</t>
    </r>
    <r>
      <rPr>
        <i/>
        <sz val="10"/>
        <rFont val="Arial"/>
        <family val="2"/>
      </rPr>
      <t>cont'd</t>
    </r>
    <r>
      <rPr>
        <b/>
        <sz val="10"/>
        <rFont val="Arial"/>
        <family val="2"/>
      </rPr>
      <t>)</t>
    </r>
  </si>
  <si>
    <r>
      <t>Sarawak (samb./</t>
    </r>
    <r>
      <rPr>
        <i/>
        <sz val="10"/>
        <rFont val="Arial"/>
        <family val="2"/>
      </rPr>
      <t>cont'd</t>
    </r>
    <r>
      <rPr>
        <b/>
        <sz val="10"/>
        <rFont val="Arial"/>
        <family val="2"/>
      </rPr>
      <t>)</t>
    </r>
  </si>
  <si>
    <t>Jadual 1.6</t>
  </si>
  <si>
    <t>Table 1.6</t>
  </si>
  <si>
    <r>
      <t xml:space="preserve">Pecah rumah dan curi           </t>
    </r>
    <r>
      <rPr>
        <i/>
        <sz val="10"/>
        <rFont val="Arial"/>
        <family val="2"/>
      </rPr>
      <t>House  break-in and theft</t>
    </r>
  </si>
  <si>
    <r>
      <t>Motosikal/
Skuter</t>
    </r>
    <r>
      <rPr>
        <i/>
        <sz val="10"/>
        <rFont val="Arial"/>
        <family val="2"/>
      </rPr>
      <t xml:space="preserve">
Motorcycle/
scooter</t>
    </r>
    <r>
      <rPr>
        <sz val="10"/>
        <rFont val="Arial"/>
        <family val="2"/>
      </rPr>
      <t xml:space="preserve">
</t>
    </r>
  </si>
  <si>
    <t>Sabah (samb.)</t>
  </si>
  <si>
    <t xml:space="preserve"> Sarawak</t>
  </si>
  <si>
    <t>`</t>
  </si>
  <si>
    <t>: Jenayah harta benda mengikut negeri dan jenis jenayah, Malaysia, 2016-2018</t>
  </si>
  <si>
    <t xml:space="preserve">: Property crime by state and type of crime, Malaysia, 2016-2018    </t>
  </si>
  <si>
    <t>: Jenayah kekerasan mengikut kontinjen, daerah PDRM dan jenis jenayah, Malaysia, 2016-2018</t>
  </si>
  <si>
    <r>
      <t>: Violent crime by contingent, PDRM district and type of crime, Malaysia, 2016</t>
    </r>
    <r>
      <rPr>
        <sz val="10"/>
        <rFont val="Arial"/>
        <family val="2"/>
      </rPr>
      <t>-2018</t>
    </r>
    <r>
      <rPr>
        <i/>
        <sz val="10"/>
        <rFont val="Arial"/>
        <family val="2"/>
      </rPr>
      <t xml:space="preserve">
                  </t>
    </r>
  </si>
  <si>
    <t>: Jenayah indeks mengikut kontinjen, daerah PDRM dan jenis jenayah, Malaysia, 2016-2018</t>
  </si>
  <si>
    <t>: Jenayah indeks mengikut kontinjen, daerah PDRM dan jenis jenayah, Malaysia, 2016-2018 (samb.)</t>
  </si>
  <si>
    <t>: Jenayah kekerasan mengikut kontinjen, daerah PDRM dan jenis jenayah, Malaysia, 2016-2018 (samb.)</t>
  </si>
  <si>
    <r>
      <t>: Violent crime by contingent, PDRM district and type of crime, Malaysia, 2016</t>
    </r>
    <r>
      <rPr>
        <sz val="10"/>
        <rFont val="Arial"/>
        <family val="2"/>
      </rPr>
      <t>-2018 (cont'd)</t>
    </r>
    <r>
      <rPr>
        <i/>
        <sz val="10"/>
        <rFont val="Arial"/>
        <family val="2"/>
      </rPr>
      <t xml:space="preserve">
                  </t>
    </r>
  </si>
  <si>
    <t>: Jenayah harta benda mengikut kontinjen, daerah PDRM dan jenis jenayah, Malaysia, 2016-2018</t>
  </si>
  <si>
    <r>
      <t>: Property crime by contingent, PDRM district and type of crime,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>2018</t>
    </r>
  </si>
  <si>
    <t>: Jenayah harta benda mengikut kontinjen, daerah PDRM dan jenis jenayah, Malaysia, 2016-2018 (samb.)</t>
  </si>
  <si>
    <r>
      <t>: Property crime by contingent, PDRM district and type of crime,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>2018 (cont'd)</t>
    </r>
  </si>
  <si>
    <r>
      <t>: Crime index by contingent, PDRM district and type of crime,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 xml:space="preserve">2018
                  </t>
    </r>
  </si>
  <si>
    <r>
      <t>: Crime index by contingent, PDRM district and type of crime,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 xml:space="preserve">2018 (cont'd)
                  </t>
    </r>
  </si>
  <si>
    <t>: Jenayah kekerasan mengikut negeri dan jenis jenayah, Malaysia, 2016-2018</t>
  </si>
  <si>
    <r>
      <t>: Violent crime by state and type of crime, Malaysia, 2016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 xml:space="preserve">2018
                  </t>
    </r>
  </si>
  <si>
    <r>
      <t xml:space="preserve">Kontinjen/Daerah PDRM 
</t>
    </r>
    <r>
      <rPr>
        <i/>
        <sz val="10"/>
        <rFont val="Arial"/>
        <family val="2"/>
      </rPr>
      <t>Contingent/ PDRM District</t>
    </r>
  </si>
  <si>
    <t>Jadual 1.7</t>
  </si>
  <si>
    <t>Table 1.7</t>
  </si>
  <si>
    <r>
      <t>: Nisbah jenayah indeks, jenayah indeks dan penduduk mengikut negeri, Malaysia, 2016</t>
    </r>
    <r>
      <rPr>
        <b/>
        <sz val="10"/>
        <rFont val="Calibri"/>
        <family val="2"/>
      </rPr>
      <t>-</t>
    </r>
    <r>
      <rPr>
        <b/>
        <sz val="10"/>
        <rFont val="Arial"/>
        <family val="2"/>
      </rPr>
      <t>2018</t>
    </r>
  </si>
  <si>
    <r>
      <t>: Crime index ratio, crime index and population by state, Malaysia, 2016</t>
    </r>
    <r>
      <rPr>
        <sz val="10"/>
        <rFont val="Calibri"/>
        <family val="2"/>
      </rPr>
      <t>-</t>
    </r>
    <r>
      <rPr>
        <i/>
        <sz val="10"/>
        <rFont val="Arial"/>
        <family val="2"/>
      </rPr>
      <t xml:space="preserve">2018
                  </t>
    </r>
  </si>
  <si>
    <r>
      <rPr>
        <b/>
        <sz val="10"/>
        <rFont val="Arial"/>
        <family val="2"/>
      </rPr>
      <t xml:space="preserve">Penduduk
</t>
    </r>
    <r>
      <rPr>
        <i/>
        <sz val="10"/>
        <rFont val="Arial"/>
        <family val="2"/>
      </rPr>
      <t xml:space="preserve">Population
</t>
    </r>
    <r>
      <rPr>
        <b/>
        <sz val="10"/>
        <rFont val="Arial"/>
        <family val="2"/>
      </rPr>
      <t>('000)</t>
    </r>
  </si>
  <si>
    <t>Jabatan Perangkaan Malaysis</t>
  </si>
  <si>
    <t>Department of Statistics Malaysia</t>
  </si>
  <si>
    <t>Kontinjen/Daerah PDRM</t>
  </si>
  <si>
    <t>Contingent/ PDRM District</t>
  </si>
  <si>
    <t>Year</t>
  </si>
  <si>
    <t>Total</t>
  </si>
  <si>
    <t>Murder</t>
  </si>
  <si>
    <t>Rape</t>
  </si>
  <si>
    <t>Causing injury</t>
  </si>
  <si>
    <t>Mencederakan</t>
  </si>
  <si>
    <t>Rogol</t>
  </si>
  <si>
    <t>Bunuh</t>
  </si>
  <si>
    <t>Jumlah</t>
  </si>
  <si>
    <r>
      <rPr>
        <b/>
        <sz val="10"/>
        <rFont val="Arial"/>
        <family val="2"/>
      </rPr>
      <t xml:space="preserve">Samun 
</t>
    </r>
    <r>
      <rPr>
        <i/>
        <sz val="10"/>
        <rFont val="Arial"/>
        <family val="2"/>
      </rPr>
      <t>Robbery</t>
    </r>
  </si>
  <si>
    <t>Tahun</t>
  </si>
  <si>
    <t>with Firearms</t>
  </si>
  <si>
    <t>without Firearms</t>
  </si>
  <si>
    <t>Bersenjata api</t>
  </si>
  <si>
    <t>Tanpa bersenjata api</t>
  </si>
  <si>
    <r>
      <rPr>
        <b/>
        <sz val="9"/>
        <rFont val="Arial"/>
        <family val="2"/>
      </rPr>
      <t>Nota/</t>
    </r>
    <r>
      <rPr>
        <i/>
        <sz val="9"/>
        <rFont val="Arial"/>
        <family val="2"/>
      </rPr>
      <t>Note:</t>
    </r>
  </si>
  <si>
    <t xml:space="preserve">Anggaran penduduk pertengahan tahun berasaskan </t>
  </si>
  <si>
    <t>Banci Penduduk dan Perumahan Malaysia 2010</t>
  </si>
  <si>
    <t xml:space="preserve">The mid-year population estimate based on </t>
  </si>
  <si>
    <t>the Population and Housing Census Malaysia 2010</t>
  </si>
  <si>
    <r>
      <t xml:space="preserve">Nisbah jenayah Indeks
</t>
    </r>
    <r>
      <rPr>
        <i/>
        <sz val="10"/>
        <rFont val="Arial"/>
        <family val="2"/>
      </rPr>
      <t>Crime index ratio</t>
    </r>
  </si>
  <si>
    <r>
      <rPr>
        <b/>
        <sz val="10"/>
        <rFont val="Arial"/>
        <family val="2"/>
      </rPr>
      <t xml:space="preserve">Jenayah indeks
</t>
    </r>
    <r>
      <rPr>
        <i/>
        <sz val="10"/>
        <rFont val="Arial"/>
        <family val="2"/>
      </rPr>
      <t>Crime Index</t>
    </r>
  </si>
  <si>
    <r>
      <t>W.P. Kuala Lumpur</t>
    </r>
    <r>
      <rPr>
        <vertAlign val="superscript"/>
        <sz val="10"/>
        <rFont val="Arial"/>
        <family val="2"/>
      </rPr>
      <t>b</t>
    </r>
  </si>
  <si>
    <r>
      <t>Sabah</t>
    </r>
    <r>
      <rPr>
        <vertAlign val="superscript"/>
        <sz val="10"/>
        <rFont val="Arial"/>
        <family val="2"/>
      </rPr>
      <t>a</t>
    </r>
  </si>
  <si>
    <r>
      <rPr>
        <b/>
        <sz val="8"/>
        <rFont val="Arial"/>
        <family val="2"/>
      </rPr>
      <t>Nota/</t>
    </r>
    <r>
      <rPr>
        <i/>
        <sz val="8"/>
        <rFont val="Arial"/>
        <family val="2"/>
      </rPr>
      <t>Notes</t>
    </r>
  </si>
  <si>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Termasuk W.P. Labuan</t>
    </r>
  </si>
  <si>
    <t xml:space="preserve">   Includes W.P. Labuan</t>
  </si>
  <si>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 xml:space="preserve"> Termasuk W.P. Putrajaya</t>
    </r>
  </si>
  <si>
    <t xml:space="preserve">   Includes W.P. Putrajaya</t>
  </si>
  <si>
    <t>: Jenayah indeks mengikut negeri, Malaysia, 2016-2018</t>
  </si>
  <si>
    <r>
      <t>: Crime index by state, Malaysia, 2016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 xml:space="preserve">2018
                  </t>
    </r>
  </si>
  <si>
    <r>
      <rPr>
        <b/>
        <sz val="10"/>
        <rFont val="Arial"/>
        <family val="2"/>
      </rPr>
      <t xml:space="preserve">Samun berkawan
</t>
    </r>
    <r>
      <rPr>
        <i/>
        <sz val="10"/>
        <rFont val="Arial"/>
        <family val="2"/>
      </rPr>
      <t>Gang robbery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</si>
</sst>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_)"/>
  </numFmts>
  <fonts count="3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rgb="FF21212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3" fontId="4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right" indent="1"/>
    </xf>
    <xf numFmtId="0" fontId="4" fillId="0" borderId="0" xfId="0" applyFont="1" applyFill="1"/>
    <xf numFmtId="0" fontId="2" fillId="0" borderId="0" xfId="0" applyFont="1" applyFill="1" applyBorder="1"/>
    <xf numFmtId="0" fontId="6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indent="1"/>
    </xf>
    <xf numFmtId="3" fontId="2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/>
    <xf numFmtId="0" fontId="2" fillId="0" borderId="2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2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 indent="1"/>
    </xf>
    <xf numFmtId="3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top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5" xfId="0" applyFont="1" applyFill="1" applyBorder="1"/>
    <xf numFmtId="0" fontId="4" fillId="0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indent="1"/>
    </xf>
    <xf numFmtId="3" fontId="11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center" indent="1"/>
    </xf>
    <xf numFmtId="3" fontId="11" fillId="0" borderId="2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 indent="1"/>
    </xf>
    <xf numFmtId="3" fontId="11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/>
    <xf numFmtId="0" fontId="9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/>
    <xf numFmtId="0" fontId="6" fillId="0" borderId="0" xfId="0" applyFont="1" applyFill="1" applyBorder="1" applyAlignment="1"/>
    <xf numFmtId="0" fontId="9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quotePrefix="1" applyFont="1" applyFill="1" applyBorder="1" applyAlignment="1">
      <alignment horizontal="left" vertical="center" indent="1"/>
    </xf>
    <xf numFmtId="0" fontId="9" fillId="0" borderId="1" xfId="0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/>
    <xf numFmtId="0" fontId="9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 indent="1"/>
    </xf>
    <xf numFmtId="0" fontId="4" fillId="0" borderId="1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 applyProtection="1">
      <alignment horizontal="right" vertical="center"/>
    </xf>
    <xf numFmtId="3" fontId="9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quotePrefix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quotePrefix="1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right" vertical="center" wrapText="1" indent="1"/>
    </xf>
    <xf numFmtId="3" fontId="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 indent="1"/>
    </xf>
    <xf numFmtId="3" fontId="11" fillId="0" borderId="0" xfId="0" applyNumberFormat="1" applyFont="1" applyFill="1" applyBorder="1" applyAlignment="1">
      <alignment horizontal="right" vertical="center" indent="1"/>
    </xf>
    <xf numFmtId="0" fontId="2" fillId="0" borderId="1" xfId="2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2"/>
    </xf>
    <xf numFmtId="0" fontId="2" fillId="0" borderId="0" xfId="0" applyFont="1" applyFill="1" applyAlignment="1">
      <alignment horizontal="right" indent="2"/>
    </xf>
    <xf numFmtId="0" fontId="11" fillId="0" borderId="1" xfId="2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right" indent="1"/>
    </xf>
    <xf numFmtId="0" fontId="9" fillId="0" borderId="0" xfId="0" applyFont="1" applyFill="1" applyAlignment="1">
      <alignment horizontal="right" indent="1"/>
    </xf>
    <xf numFmtId="0" fontId="11" fillId="0" borderId="0" xfId="0" applyFont="1" applyFill="1" applyAlignment="1">
      <alignment horizontal="right" indent="2"/>
    </xf>
    <xf numFmtId="0" fontId="11" fillId="0" borderId="0" xfId="0" applyFont="1" applyFill="1" applyBorder="1" applyAlignment="1">
      <alignment horizontal="right" vertical="top" wrapText="1"/>
    </xf>
    <xf numFmtId="0" fontId="18" fillId="0" borderId="0" xfId="0" applyNumberFormat="1" applyFont="1" applyFill="1" applyBorder="1"/>
    <xf numFmtId="0" fontId="11" fillId="0" borderId="0" xfId="0" applyFont="1" applyFill="1" applyBorder="1" applyAlignment="1">
      <alignment horizontal="left" inden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indent="1"/>
    </xf>
    <xf numFmtId="3" fontId="11" fillId="0" borderId="0" xfId="0" applyNumberFormat="1" applyFont="1" applyFill="1" applyBorder="1"/>
    <xf numFmtId="3" fontId="11" fillId="0" borderId="0" xfId="0" applyNumberFormat="1" applyFont="1" applyFill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/>
    <xf numFmtId="0" fontId="11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11" fillId="2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vertical="center"/>
    </xf>
    <xf numFmtId="0" fontId="11" fillId="0" borderId="0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indent="1"/>
    </xf>
    <xf numFmtId="0" fontId="9" fillId="0" borderId="0" xfId="0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right" vertical="top" wrapText="1" indent="1"/>
    </xf>
    <xf numFmtId="0" fontId="9" fillId="0" borderId="0" xfId="0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right" vertical="top"/>
    </xf>
    <xf numFmtId="3" fontId="9" fillId="0" borderId="0" xfId="3" applyNumberFormat="1" applyFont="1" applyFill="1" applyBorder="1" applyAlignment="1">
      <alignment horizontal="right" vertical="top"/>
    </xf>
    <xf numFmtId="3" fontId="9" fillId="0" borderId="0" xfId="3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3" fontId="11" fillId="0" borderId="0" xfId="3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right" vertical="top"/>
    </xf>
    <xf numFmtId="3" fontId="11" fillId="0" borderId="0" xfId="3" applyNumberFormat="1" applyFont="1" applyFill="1" applyBorder="1" applyAlignment="1">
      <alignment horizontal="right" vertical="top"/>
    </xf>
    <xf numFmtId="3" fontId="11" fillId="0" borderId="0" xfId="3" quotePrefix="1" applyNumberFormat="1" applyFont="1" applyFill="1" applyBorder="1" applyAlignment="1">
      <alignment horizontal="right" vertical="top"/>
    </xf>
    <xf numFmtId="3" fontId="11" fillId="0" borderId="0" xfId="3" applyNumberFormat="1" applyFont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/>
    </xf>
    <xf numFmtId="0" fontId="9" fillId="0" borderId="1" xfId="2" applyFont="1" applyFill="1" applyBorder="1" applyAlignment="1">
      <alignment horizontal="right" vertical="top"/>
    </xf>
    <xf numFmtId="164" fontId="11" fillId="0" borderId="1" xfId="3" applyNumberFormat="1" applyFont="1" applyFill="1" applyBorder="1" applyAlignment="1">
      <alignment horizontal="right" vertical="top"/>
    </xf>
    <xf numFmtId="164" fontId="11" fillId="0" borderId="1" xfId="3" applyNumberFormat="1" applyFont="1" applyBorder="1" applyAlignment="1">
      <alignment horizontal="right" vertical="top"/>
    </xf>
    <xf numFmtId="164" fontId="11" fillId="0" borderId="1" xfId="3" quotePrefix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3" fontId="11" fillId="0" borderId="0" xfId="0" quotePrefix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 inden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 indent="1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 indent="1"/>
    </xf>
    <xf numFmtId="3" fontId="11" fillId="0" borderId="0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horizontal="right" vertical="top" indent="1"/>
    </xf>
    <xf numFmtId="3" fontId="11" fillId="0" borderId="1" xfId="0" applyNumberFormat="1" applyFont="1" applyBorder="1" applyAlignment="1">
      <alignment horizontal="right" vertical="top"/>
    </xf>
    <xf numFmtId="3" fontId="11" fillId="0" borderId="1" xfId="0" quotePrefix="1" applyNumberFormat="1" applyFont="1" applyBorder="1" applyAlignment="1">
      <alignment horizontal="right" vertical="top"/>
    </xf>
    <xf numFmtId="0" fontId="9" fillId="0" borderId="3" xfId="0" applyFont="1" applyFill="1" applyBorder="1"/>
    <xf numFmtId="0" fontId="11" fillId="0" borderId="0" xfId="0" applyFont="1" applyFill="1" applyBorder="1" applyAlignment="1">
      <alignment horizontal="left" vertical="center" indent="2"/>
    </xf>
    <xf numFmtId="0" fontId="11" fillId="0" borderId="1" xfId="0" applyFont="1" applyFill="1" applyBorder="1" applyAlignment="1">
      <alignment horizontal="left" vertical="center" indent="2"/>
    </xf>
    <xf numFmtId="3" fontId="2" fillId="0" borderId="1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 indent="1"/>
    </xf>
    <xf numFmtId="0" fontId="6" fillId="0" borderId="0" xfId="0" applyFont="1" applyFill="1" applyBorder="1"/>
    <xf numFmtId="0" fontId="9" fillId="0" borderId="1" xfId="0" applyFont="1" applyFill="1" applyBorder="1" applyAlignment="1">
      <alignment horizontal="left" vertical="center" indent="1"/>
    </xf>
    <xf numFmtId="3" fontId="11" fillId="0" borderId="1" xfId="0" quotePrefix="1" applyNumberFormat="1" applyFont="1" applyFill="1" applyBorder="1" applyAlignment="1">
      <alignment horizontal="right" vertical="center" indent="1"/>
    </xf>
    <xf numFmtId="0" fontId="11" fillId="0" borderId="5" xfId="0" applyFont="1" applyFill="1" applyBorder="1"/>
    <xf numFmtId="0" fontId="9" fillId="0" borderId="0" xfId="0" applyFont="1" applyFill="1" applyBorder="1" applyAlignment="1">
      <alignment horizontal="left" indent="1"/>
    </xf>
    <xf numFmtId="3" fontId="19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vertical="center" indent="2"/>
    </xf>
    <xf numFmtId="0" fontId="11" fillId="0" borderId="0" xfId="0" quotePrefix="1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indent="2"/>
    </xf>
    <xf numFmtId="3" fontId="11" fillId="0" borderId="1" xfId="0" applyNumberFormat="1" applyFont="1" applyBorder="1" applyAlignment="1">
      <alignment horizontal="right" vertical="center" indent="1"/>
    </xf>
    <xf numFmtId="0" fontId="20" fillId="0" borderId="0" xfId="0" applyNumberFormat="1" applyFont="1" applyFill="1"/>
    <xf numFmtId="0" fontId="11" fillId="0" borderId="1" xfId="0" applyFont="1" applyFill="1" applyBorder="1" applyAlignment="1"/>
    <xf numFmtId="3" fontId="21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/>
    <xf numFmtId="0" fontId="24" fillId="0" borderId="0" xfId="0" applyFont="1" applyFill="1" applyAlignment="1"/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 vertical="top"/>
    </xf>
    <xf numFmtId="3" fontId="21" fillId="0" borderId="0" xfId="0" quotePrefix="1" applyNumberFormat="1" applyFont="1" applyFill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1" fillId="0" borderId="0" xfId="0" quotePrefix="1" applyNumberFormat="1" applyFont="1" applyFill="1" applyBorder="1" applyAlignment="1">
      <alignment horizontal="right"/>
    </xf>
    <xf numFmtId="3" fontId="21" fillId="0" borderId="0" xfId="0" quotePrefix="1" applyNumberFormat="1" applyFont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center"/>
    </xf>
    <xf numFmtId="3" fontId="21" fillId="0" borderId="0" xfId="0" quotePrefix="1" applyNumberFormat="1" applyFont="1" applyFill="1" applyBorder="1" applyAlignment="1">
      <alignment horizontal="right" vertical="center"/>
    </xf>
    <xf numFmtId="3" fontId="22" fillId="0" borderId="0" xfId="3" applyNumberFormat="1" applyFont="1" applyAlignment="1">
      <alignment horizontal="right" vertical="center" wrapText="1"/>
    </xf>
    <xf numFmtId="41" fontId="22" fillId="0" borderId="0" xfId="0" applyNumberFormat="1" applyFont="1" applyBorder="1" applyAlignment="1">
      <alignment horizontal="right" vertical="center" wrapText="1"/>
    </xf>
    <xf numFmtId="41" fontId="22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/>
    </xf>
    <xf numFmtId="3" fontId="21" fillId="0" borderId="0" xfId="0" quotePrefix="1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0" borderId="0" xfId="0" quotePrefix="1" applyNumberFormat="1" applyFont="1" applyFill="1" applyBorder="1" applyAlignment="1">
      <alignment horizontal="right" vertical="center" wrapText="1"/>
    </xf>
    <xf numFmtId="0" fontId="11" fillId="0" borderId="0" xfId="0" quotePrefix="1" applyFont="1" applyFill="1" applyAlignment="1">
      <alignment horizontal="right"/>
    </xf>
    <xf numFmtId="3" fontId="9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0" xfId="0" quotePrefix="1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/>
    </xf>
    <xf numFmtId="0" fontId="9" fillId="0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right" vertical="top" wrapText="1"/>
    </xf>
    <xf numFmtId="0" fontId="9" fillId="3" borderId="4" xfId="0" applyFont="1" applyFill="1" applyBorder="1" applyAlignment="1"/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top"/>
    </xf>
    <xf numFmtId="0" fontId="2" fillId="3" borderId="4" xfId="0" applyFont="1" applyFill="1" applyBorder="1" applyAlignment="1">
      <alignment horizontal="left" vertical="center" wrapText="1" indent="1"/>
    </xf>
    <xf numFmtId="0" fontId="11" fillId="3" borderId="4" xfId="0" applyFont="1" applyFill="1" applyBorder="1"/>
    <xf numFmtId="0" fontId="11" fillId="3" borderId="4" xfId="0" applyFont="1" applyFill="1" applyBorder="1" applyAlignment="1">
      <alignment vertical="top"/>
    </xf>
    <xf numFmtId="0" fontId="11" fillId="3" borderId="4" xfId="0" applyFont="1" applyFill="1" applyBorder="1" applyAlignment="1">
      <alignment horizontal="left" indent="1"/>
    </xf>
    <xf numFmtId="0" fontId="9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 indent="1"/>
    </xf>
    <xf numFmtId="0" fontId="11" fillId="3" borderId="0" xfId="0" applyFont="1" applyFill="1" applyBorder="1"/>
    <xf numFmtId="0" fontId="9" fillId="3" borderId="0" xfId="0" applyFont="1" applyFill="1" applyBorder="1" applyAlignment="1"/>
    <xf numFmtId="0" fontId="11" fillId="3" borderId="2" xfId="0" applyFont="1" applyFill="1" applyBorder="1"/>
    <xf numFmtId="0" fontId="2" fillId="3" borderId="4" xfId="0" applyFont="1" applyFill="1" applyBorder="1"/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right" vertical="center" wrapText="1"/>
    </xf>
    <xf numFmtId="0" fontId="9" fillId="3" borderId="2" xfId="0" applyFont="1" applyFill="1" applyBorder="1"/>
    <xf numFmtId="0" fontId="11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right" indent="1"/>
    </xf>
    <xf numFmtId="0" fontId="11" fillId="3" borderId="4" xfId="0" applyFont="1" applyFill="1" applyBorder="1" applyAlignment="1">
      <alignment horizontal="right" indent="2"/>
    </xf>
    <xf numFmtId="0" fontId="9" fillId="3" borderId="0" xfId="0" applyFont="1" applyFill="1" applyBorder="1" applyAlignment="1">
      <alignment horizontal="right" vertical="top" wrapText="1" indent="1"/>
    </xf>
    <xf numFmtId="0" fontId="9" fillId="3" borderId="6" xfId="0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right" vertical="center" wrapText="1" indent="1"/>
    </xf>
    <xf numFmtId="3" fontId="28" fillId="0" borderId="0" xfId="0" applyNumberFormat="1" applyFont="1" applyFill="1" applyBorder="1" applyAlignment="1">
      <alignment horizontal="right" vertical="center"/>
    </xf>
    <xf numFmtId="3" fontId="28" fillId="0" borderId="0" xfId="3" applyNumberFormat="1" applyFont="1" applyFill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Alignment="1">
      <alignment horizontal="right" vertical="center"/>
    </xf>
    <xf numFmtId="43" fontId="11" fillId="0" borderId="0" xfId="3" applyFont="1" applyFill="1" applyAlignment="1">
      <alignment horizontal="right" wrapText="1"/>
    </xf>
    <xf numFmtId="0" fontId="11" fillId="0" borderId="0" xfId="0" applyNumberFormat="1" applyFont="1" applyFill="1"/>
    <xf numFmtId="41" fontId="28" fillId="0" borderId="0" xfId="0" applyNumberFormat="1" applyFont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wrapText="1"/>
    </xf>
    <xf numFmtId="3" fontId="11" fillId="0" borderId="0" xfId="0" quotePrefix="1" applyNumberFormat="1" applyFont="1" applyFill="1" applyBorder="1" applyAlignment="1">
      <alignment horizontal="right" wrapText="1"/>
    </xf>
    <xf numFmtId="0" fontId="11" fillId="0" borderId="0" xfId="0" quotePrefix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164" fontId="11" fillId="0" borderId="0" xfId="3" applyNumberFormat="1" applyFont="1" applyFill="1" applyAlignment="1">
      <alignment horizontal="right" wrapText="1"/>
    </xf>
    <xf numFmtId="3" fontId="11" fillId="0" borderId="0" xfId="0" applyNumberFormat="1" applyFont="1" applyFill="1" applyBorder="1" applyAlignment="1"/>
    <xf numFmtId="3" fontId="11" fillId="0" borderId="0" xfId="4" applyNumberFormat="1" applyFont="1" applyFill="1" applyBorder="1" applyAlignment="1">
      <alignment horizontal="right" vertical="center" wrapText="1"/>
    </xf>
    <xf numFmtId="3" fontId="11" fillId="0" borderId="0" xfId="4" quotePrefix="1" applyNumberFormat="1" applyFont="1" applyFill="1" applyBorder="1" applyAlignment="1">
      <alignment horizontal="right" vertical="center" wrapText="1"/>
    </xf>
    <xf numFmtId="3" fontId="26" fillId="0" borderId="0" xfId="3" quotePrefix="1" applyNumberFormat="1" applyFont="1" applyFill="1" applyAlignment="1">
      <alignment horizontal="right" vertical="center" wrapText="1"/>
    </xf>
    <xf numFmtId="3" fontId="26" fillId="0" borderId="0" xfId="3" applyNumberFormat="1" applyFont="1" applyFill="1" applyAlignment="1">
      <alignment horizontal="right" vertical="center" wrapText="1"/>
    </xf>
    <xf numFmtId="3" fontId="26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horizontal="right"/>
    </xf>
    <xf numFmtId="3" fontId="26" fillId="0" borderId="0" xfId="3" applyNumberFormat="1" applyFont="1" applyFill="1" applyAlignment="1">
      <alignment horizontal="right" wrapText="1"/>
    </xf>
    <xf numFmtId="3" fontId="26" fillId="0" borderId="0" xfId="3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2"/>
    </xf>
    <xf numFmtId="3" fontId="21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/>
    </xf>
    <xf numFmtId="3" fontId="21" fillId="0" borderId="0" xfId="3" applyNumberFormat="1" applyFont="1" applyFill="1" applyAlignment="1">
      <alignment horizontal="right" vertical="center" wrapText="1"/>
    </xf>
    <xf numFmtId="3" fontId="21" fillId="0" borderId="0" xfId="3" applyNumberFormat="1" applyFont="1" applyFill="1" applyAlignment="1">
      <alignment horizontal="right" wrapText="1"/>
    </xf>
    <xf numFmtId="3" fontId="22" fillId="0" borderId="0" xfId="3" applyNumberFormat="1" applyFont="1" applyBorder="1" applyAlignment="1">
      <alignment horizontal="right" vertical="center" wrapText="1"/>
    </xf>
    <xf numFmtId="3" fontId="21" fillId="0" borderId="0" xfId="3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165" fontId="9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wrapText="1"/>
    </xf>
    <xf numFmtId="0" fontId="11" fillId="3" borderId="4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1" fillId="0" borderId="0" xfId="0" quotePrefix="1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wrapText="1"/>
    </xf>
    <xf numFmtId="3" fontId="28" fillId="0" borderId="0" xfId="0" quotePrefix="1" applyNumberFormat="1" applyFont="1" applyFill="1" applyBorder="1" applyAlignment="1">
      <alignment horizontal="right" vertical="center"/>
    </xf>
    <xf numFmtId="3" fontId="11" fillId="0" borderId="0" xfId="0" quotePrefix="1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8" fillId="0" borderId="0" xfId="0" quotePrefix="1" applyNumberFormat="1" applyFont="1" applyFill="1" applyAlignment="1">
      <alignment horizontal="right"/>
    </xf>
    <xf numFmtId="3" fontId="28" fillId="0" borderId="0" xfId="0" applyNumberFormat="1" applyFont="1" applyAlignment="1">
      <alignment horizontal="right" vertical="center"/>
    </xf>
    <xf numFmtId="3" fontId="11" fillId="2" borderId="0" xfId="0" quotePrefix="1" applyNumberFormat="1" applyFont="1" applyFill="1" applyBorder="1" applyAlignment="1">
      <alignment horizontal="right" vertical="center"/>
    </xf>
    <xf numFmtId="3" fontId="28" fillId="0" borderId="0" xfId="0" quotePrefix="1" applyNumberFormat="1" applyFont="1" applyFill="1" applyAlignment="1">
      <alignment horizontal="right" vertical="center"/>
    </xf>
    <xf numFmtId="0" fontId="11" fillId="0" borderId="0" xfId="0" quotePrefix="1" applyFont="1" applyFill="1" applyAlignment="1">
      <alignment horizontal="right" vertical="center"/>
    </xf>
    <xf numFmtId="3" fontId="9" fillId="2" borderId="0" xfId="0" quotePrefix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6" fillId="0" borderId="0" xfId="5" applyFont="1"/>
    <xf numFmtId="166" fontId="29" fillId="0" borderId="0" xfId="0" applyNumberFormat="1" applyFont="1" applyAlignment="1">
      <alignment horizontal="left" vertical="top"/>
    </xf>
    <xf numFmtId="0" fontId="9" fillId="3" borderId="2" xfId="0" applyFont="1" applyFill="1" applyBorder="1" applyAlignment="1">
      <alignment horizontal="right" vertical="top" wrapText="1"/>
    </xf>
    <xf numFmtId="165" fontId="28" fillId="0" borderId="0" xfId="0" applyNumberFormat="1" applyFont="1"/>
    <xf numFmtId="0" fontId="3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9" fillId="3" borderId="4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right" vertical="top" wrapText="1" indent="1"/>
    </xf>
    <xf numFmtId="0" fontId="9" fillId="3" borderId="2" xfId="0" applyFont="1" applyFill="1" applyBorder="1" applyAlignment="1">
      <alignment horizontal="right" vertical="top" wrapText="1" inden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top" wrapText="1" indent="1"/>
    </xf>
    <xf numFmtId="0" fontId="9" fillId="3" borderId="6" xfId="0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</cellXfs>
  <cellStyles count="6">
    <cellStyle name="Comma" xfId="3" builtinId="3"/>
    <cellStyle name="Comma 2" xfId="4"/>
    <cellStyle name="Hyperlink" xfId="1" builtinId="8"/>
    <cellStyle name="Normal" xfId="0" builtinId="0"/>
    <cellStyle name="Normal 3 5 2 5" xfId="5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6"/>
  <sheetViews>
    <sheetView showGridLines="0" tabSelected="1" zoomScale="110" zoomScaleNormal="11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30" customWidth="1"/>
    <col min="2" max="3" width="10.5703125" style="27" customWidth="1"/>
    <col min="4" max="4" width="11.28515625" style="27" customWidth="1"/>
    <col min="5" max="5" width="18" style="28" customWidth="1"/>
    <col min="6" max="7" width="24.5703125" style="29" customWidth="1"/>
    <col min="8" max="8" width="1.7109375" style="30" customWidth="1"/>
    <col min="9" max="16384" width="9.140625" style="30"/>
  </cols>
  <sheetData>
    <row r="1" spans="1:8" ht="12" customHeight="1" x14ac:dyDescent="0.25">
      <c r="G1" s="181" t="s">
        <v>182</v>
      </c>
    </row>
    <row r="2" spans="1:8" ht="12" customHeight="1" x14ac:dyDescent="0.25">
      <c r="G2" s="71" t="s">
        <v>183</v>
      </c>
    </row>
    <row r="3" spans="1:8" ht="12" customHeight="1" x14ac:dyDescent="0.25">
      <c r="G3" s="71"/>
    </row>
    <row r="4" spans="1:8" ht="12" customHeight="1" x14ac:dyDescent="0.25">
      <c r="G4" s="71"/>
    </row>
    <row r="5" spans="1:8" s="182" customFormat="1" ht="15" customHeight="1" x14ac:dyDescent="0.25">
      <c r="B5" s="82" t="s">
        <v>184</v>
      </c>
      <c r="C5" s="67" t="s">
        <v>270</v>
      </c>
      <c r="D5" s="67"/>
      <c r="F5" s="67"/>
      <c r="G5" s="67"/>
      <c r="H5" s="67"/>
    </row>
    <row r="6" spans="1:8" s="70" customFormat="1" ht="16.5" customHeight="1" x14ac:dyDescent="0.25">
      <c r="B6" s="83" t="s">
        <v>185</v>
      </c>
      <c r="C6" s="70" t="s">
        <v>271</v>
      </c>
    </row>
    <row r="7" spans="1:8" ht="8.1" customHeight="1" thickBot="1" x14ac:dyDescent="0.3"/>
    <row r="8" spans="1:8" ht="4.5" customHeight="1" thickTop="1" x14ac:dyDescent="0.25">
      <c r="A8" s="338"/>
      <c r="B8" s="339"/>
      <c r="C8" s="339"/>
      <c r="D8" s="339"/>
      <c r="E8" s="340"/>
      <c r="F8" s="341"/>
      <c r="G8" s="341"/>
      <c r="H8" s="338"/>
    </row>
    <row r="9" spans="1:8" s="183" customFormat="1" ht="31.5" customHeight="1" x14ac:dyDescent="0.25">
      <c r="A9" s="342"/>
      <c r="B9" s="343" t="s">
        <v>186</v>
      </c>
      <c r="C9" s="342"/>
      <c r="D9" s="449" t="s">
        <v>98</v>
      </c>
      <c r="E9" s="449" t="s">
        <v>94</v>
      </c>
      <c r="F9" s="414" t="s">
        <v>95</v>
      </c>
      <c r="G9" s="414" t="s">
        <v>96</v>
      </c>
      <c r="H9" s="342"/>
    </row>
    <row r="10" spans="1:8" s="37" customFormat="1" ht="7.5" customHeight="1" x14ac:dyDescent="0.25">
      <c r="B10" s="38"/>
      <c r="C10" s="38"/>
      <c r="D10" s="38"/>
      <c r="E10" s="43"/>
      <c r="F10" s="97"/>
      <c r="G10" s="97"/>
    </row>
    <row r="11" spans="1:8" s="37" customFormat="1" ht="12.95" customHeight="1" x14ac:dyDescent="0.25">
      <c r="B11" s="112" t="s">
        <v>187</v>
      </c>
      <c r="C11" s="184"/>
      <c r="D11" s="63">
        <v>2016</v>
      </c>
      <c r="E11" s="166">
        <f>SUM(F11:G11)</f>
        <v>112355</v>
      </c>
      <c r="F11" s="166">
        <f>SUM(F15,F19,F23,F27,F31,F35,F47,F39,F43,F59,F55,F51,F63,F67)</f>
        <v>22327</v>
      </c>
      <c r="G11" s="166">
        <f>SUM(G15,G19,G23,G27,G31,G35,G47,G39,G43,G59,G55,G51,G63,G67)</f>
        <v>90028</v>
      </c>
    </row>
    <row r="12" spans="1:8" ht="12.95" customHeight="1" x14ac:dyDescent="0.25">
      <c r="B12" s="185"/>
      <c r="C12" s="185"/>
      <c r="D12" s="63">
        <v>2017</v>
      </c>
      <c r="E12" s="166">
        <f>SUM(F12:G12)</f>
        <v>99162</v>
      </c>
      <c r="F12" s="166">
        <f>SUM(F16,F20,F24,F28,F32,F36,F48,F40,F44,F60,F56,F52,F64,F68)</f>
        <v>21360</v>
      </c>
      <c r="G12" s="166">
        <f>SUM(G16,G20,G24,G28,G32,G36,G48,G40,G44,G60,G56,G52,G64,G68)</f>
        <v>77802</v>
      </c>
    </row>
    <row r="13" spans="1:8" ht="12.95" customHeight="1" x14ac:dyDescent="0.25">
      <c r="B13" s="185"/>
      <c r="C13" s="185"/>
      <c r="D13" s="63">
        <v>2018</v>
      </c>
      <c r="E13" s="166">
        <f>SUM(F13:G13)</f>
        <v>88662</v>
      </c>
      <c r="F13" s="166">
        <f>SUM(F17,F21,F25,F29,F33,F37,F49,F41,F45,F61,F57,F53,F65,F69)</f>
        <v>16902</v>
      </c>
      <c r="G13" s="166">
        <f t="shared" ref="G13" si="0">SUM(G17,G21,G25,G29,G33,G37,G49,G41,G45,G61,G57,G53,G65,G69)</f>
        <v>71760</v>
      </c>
    </row>
    <row r="14" spans="1:8" ht="8.1" customHeight="1" x14ac:dyDescent="0.25">
      <c r="B14" s="106"/>
      <c r="C14" s="106"/>
      <c r="D14" s="162"/>
      <c r="E14" s="186"/>
      <c r="F14" s="186"/>
      <c r="G14" s="186"/>
    </row>
    <row r="15" spans="1:8" ht="12.95" customHeight="1" x14ac:dyDescent="0.25">
      <c r="B15" s="106" t="s">
        <v>97</v>
      </c>
      <c r="C15" s="106"/>
      <c r="D15" s="168">
        <v>2016</v>
      </c>
      <c r="E15" s="186">
        <f>SUM(F15:G15)</f>
        <v>12941</v>
      </c>
      <c r="F15" s="167">
        <v>2820</v>
      </c>
      <c r="G15" s="186">
        <v>10121</v>
      </c>
    </row>
    <row r="16" spans="1:8" ht="12.95" customHeight="1" x14ac:dyDescent="0.25">
      <c r="B16" s="106"/>
      <c r="C16" s="106"/>
      <c r="D16" s="168">
        <v>2017</v>
      </c>
      <c r="E16" s="186">
        <f t="shared" ref="E16:E17" si="1">SUM(F16:G16)</f>
        <v>11307</v>
      </c>
      <c r="F16" s="167">
        <v>2578</v>
      </c>
      <c r="G16" s="186">
        <v>8729</v>
      </c>
    </row>
    <row r="17" spans="2:8" ht="12.95" customHeight="1" x14ac:dyDescent="0.25">
      <c r="B17" s="106"/>
      <c r="C17" s="106"/>
      <c r="D17" s="168">
        <v>2018</v>
      </c>
      <c r="E17" s="186">
        <f t="shared" si="1"/>
        <v>10338</v>
      </c>
      <c r="F17" s="167">
        <v>1880</v>
      </c>
      <c r="G17" s="186">
        <v>8458</v>
      </c>
    </row>
    <row r="18" spans="2:8" ht="8.1" customHeight="1" x14ac:dyDescent="0.25">
      <c r="B18" s="106"/>
      <c r="C18" s="106"/>
      <c r="D18" s="162"/>
      <c r="E18" s="186"/>
      <c r="F18" s="167"/>
      <c r="G18" s="186"/>
    </row>
    <row r="19" spans="2:8" ht="12.95" customHeight="1" x14ac:dyDescent="0.25">
      <c r="B19" s="106" t="s">
        <v>99</v>
      </c>
      <c r="C19" s="106"/>
      <c r="D19" s="168">
        <v>2016</v>
      </c>
      <c r="E19" s="186">
        <f>SUM(F19:G19)</f>
        <v>7440</v>
      </c>
      <c r="F19" s="167">
        <v>1239</v>
      </c>
      <c r="G19" s="186">
        <v>6201</v>
      </c>
    </row>
    <row r="20" spans="2:8" ht="12.95" customHeight="1" x14ac:dyDescent="0.25">
      <c r="B20" s="106"/>
      <c r="C20" s="106"/>
      <c r="D20" s="168">
        <v>2017</v>
      </c>
      <c r="E20" s="186">
        <f t="shared" ref="E20:E21" si="2">SUM(F20:G20)</f>
        <v>6759</v>
      </c>
      <c r="F20" s="167">
        <v>996</v>
      </c>
      <c r="G20" s="186">
        <v>5763</v>
      </c>
    </row>
    <row r="21" spans="2:8" ht="12.95" customHeight="1" x14ac:dyDescent="0.25">
      <c r="B21" s="106"/>
      <c r="C21" s="106"/>
      <c r="D21" s="168">
        <v>2018</v>
      </c>
      <c r="E21" s="186">
        <f t="shared" si="2"/>
        <v>6221</v>
      </c>
      <c r="F21" s="167">
        <v>989</v>
      </c>
      <c r="G21" s="186">
        <v>5232</v>
      </c>
    </row>
    <row r="22" spans="2:8" ht="8.1" customHeight="1" x14ac:dyDescent="0.25">
      <c r="B22" s="106"/>
      <c r="C22" s="106"/>
      <c r="D22" s="162"/>
      <c r="E22" s="186"/>
      <c r="F22" s="167"/>
      <c r="G22" s="186"/>
    </row>
    <row r="23" spans="2:8" ht="12.95" customHeight="1" x14ac:dyDescent="0.25">
      <c r="B23" s="106" t="s">
        <v>188</v>
      </c>
      <c r="C23" s="106"/>
      <c r="D23" s="168">
        <v>2016</v>
      </c>
      <c r="E23" s="186">
        <f>SUM(F23:G23)</f>
        <v>4548</v>
      </c>
      <c r="F23" s="167">
        <v>543</v>
      </c>
      <c r="G23" s="186">
        <v>4005</v>
      </c>
    </row>
    <row r="24" spans="2:8" ht="12.95" customHeight="1" x14ac:dyDescent="0.25">
      <c r="B24" s="106"/>
      <c r="C24" s="106"/>
      <c r="D24" s="168">
        <v>2017</v>
      </c>
      <c r="E24" s="186">
        <f t="shared" ref="E24:E25" si="3">SUM(F24:G24)</f>
        <v>4520</v>
      </c>
      <c r="F24" s="167">
        <v>600</v>
      </c>
      <c r="G24" s="186">
        <v>3920</v>
      </c>
    </row>
    <row r="25" spans="2:8" ht="12.95" customHeight="1" x14ac:dyDescent="0.25">
      <c r="B25" s="106"/>
      <c r="C25" s="106"/>
      <c r="D25" s="168">
        <v>2018</v>
      </c>
      <c r="E25" s="186">
        <f t="shared" si="3"/>
        <v>3987</v>
      </c>
      <c r="F25" s="167">
        <v>511</v>
      </c>
      <c r="G25" s="186">
        <v>3476</v>
      </c>
    </row>
    <row r="26" spans="2:8" ht="8.1" customHeight="1" x14ac:dyDescent="0.25">
      <c r="B26" s="106"/>
      <c r="C26" s="106"/>
      <c r="D26" s="162"/>
      <c r="E26" s="186"/>
      <c r="F26" s="167"/>
      <c r="G26" s="186"/>
    </row>
    <row r="27" spans="2:8" ht="12.95" customHeight="1" x14ac:dyDescent="0.25">
      <c r="B27" s="106" t="s">
        <v>189</v>
      </c>
      <c r="C27" s="106"/>
      <c r="D27" s="168">
        <v>2016</v>
      </c>
      <c r="E27" s="186">
        <f>SUM(F27:G27)</f>
        <v>3664</v>
      </c>
      <c r="F27" s="167">
        <v>1154</v>
      </c>
      <c r="G27" s="186">
        <v>2510</v>
      </c>
    </row>
    <row r="28" spans="2:8" ht="12.95" customHeight="1" x14ac:dyDescent="0.25">
      <c r="B28" s="106"/>
      <c r="C28" s="106"/>
      <c r="D28" s="168">
        <v>2017</v>
      </c>
      <c r="E28" s="186">
        <f t="shared" ref="E28:E29" si="4">SUM(F28:G28)</f>
        <v>3097</v>
      </c>
      <c r="F28" s="167">
        <v>842</v>
      </c>
      <c r="G28" s="186">
        <v>2255</v>
      </c>
    </row>
    <row r="29" spans="2:8" ht="12.95" customHeight="1" x14ac:dyDescent="0.25">
      <c r="B29" s="106"/>
      <c r="C29" s="106"/>
      <c r="D29" s="168">
        <v>2018</v>
      </c>
      <c r="E29" s="186">
        <f t="shared" si="4"/>
        <v>2800</v>
      </c>
      <c r="F29" s="167">
        <v>621</v>
      </c>
      <c r="G29" s="186">
        <v>2179</v>
      </c>
    </row>
    <row r="30" spans="2:8" ht="8.1" customHeight="1" x14ac:dyDescent="0.25">
      <c r="B30" s="106"/>
      <c r="C30" s="106"/>
      <c r="D30" s="162"/>
      <c r="E30" s="186"/>
      <c r="F30" s="167"/>
      <c r="G30" s="186"/>
    </row>
    <row r="31" spans="2:8" s="27" customFormat="1" ht="12.95" customHeight="1" x14ac:dyDescent="0.25">
      <c r="B31" s="106" t="s">
        <v>31</v>
      </c>
      <c r="C31" s="106"/>
      <c r="D31" s="168">
        <v>2016</v>
      </c>
      <c r="E31" s="186">
        <f>SUM(F31:G31)</f>
        <v>4474</v>
      </c>
      <c r="F31" s="167">
        <v>1084</v>
      </c>
      <c r="G31" s="186">
        <v>3390</v>
      </c>
      <c r="H31" s="30"/>
    </row>
    <row r="32" spans="2:8" ht="12.95" customHeight="1" x14ac:dyDescent="0.25">
      <c r="B32" s="106"/>
      <c r="C32" s="106"/>
      <c r="D32" s="168">
        <v>2017</v>
      </c>
      <c r="E32" s="186">
        <f t="shared" ref="E32:E33" si="5">SUM(F32:G32)</f>
        <v>3973</v>
      </c>
      <c r="F32" s="167">
        <v>884</v>
      </c>
      <c r="G32" s="186">
        <v>3089</v>
      </c>
    </row>
    <row r="33" spans="2:7" ht="12.95" customHeight="1" x14ac:dyDescent="0.25">
      <c r="B33" s="106"/>
      <c r="C33" s="106"/>
      <c r="D33" s="168">
        <v>2018</v>
      </c>
      <c r="E33" s="186">
        <f t="shared" si="5"/>
        <v>3673</v>
      </c>
      <c r="F33" s="167">
        <v>831</v>
      </c>
      <c r="G33" s="186">
        <v>2842</v>
      </c>
    </row>
    <row r="34" spans="2:7" ht="8.1" customHeight="1" x14ac:dyDescent="0.25">
      <c r="B34" s="106"/>
      <c r="C34" s="106"/>
      <c r="D34" s="162"/>
      <c r="E34" s="186"/>
      <c r="F34" s="167"/>
      <c r="G34" s="186"/>
    </row>
    <row r="35" spans="2:7" ht="12.95" customHeight="1" x14ac:dyDescent="0.25">
      <c r="B35" s="106" t="s">
        <v>100</v>
      </c>
      <c r="C35" s="106"/>
      <c r="D35" s="168">
        <v>2016</v>
      </c>
      <c r="E35" s="186">
        <f>SUM(F35:G35)</f>
        <v>3777</v>
      </c>
      <c r="F35" s="167">
        <v>651</v>
      </c>
      <c r="G35" s="186">
        <v>3126</v>
      </c>
    </row>
    <row r="36" spans="2:7" ht="12.95" customHeight="1" x14ac:dyDescent="0.25">
      <c r="B36" s="106"/>
      <c r="C36" s="106"/>
      <c r="D36" s="168">
        <v>2017</v>
      </c>
      <c r="E36" s="186">
        <f>SUM(F36:G36)</f>
        <v>3601</v>
      </c>
      <c r="F36" s="167">
        <v>650</v>
      </c>
      <c r="G36" s="186">
        <v>2951</v>
      </c>
    </row>
    <row r="37" spans="2:7" ht="12.95" customHeight="1" x14ac:dyDescent="0.25">
      <c r="B37" s="106"/>
      <c r="C37" s="106"/>
      <c r="D37" s="168">
        <v>2018</v>
      </c>
      <c r="E37" s="186">
        <f t="shared" ref="E37" si="6">SUM(F37:G37)</f>
        <v>3584</v>
      </c>
      <c r="F37" s="167">
        <v>572</v>
      </c>
      <c r="G37" s="186">
        <v>3012</v>
      </c>
    </row>
    <row r="38" spans="2:7" ht="8.1" customHeight="1" x14ac:dyDescent="0.25">
      <c r="B38" s="106"/>
      <c r="C38" s="106"/>
      <c r="D38" s="162"/>
      <c r="E38" s="186"/>
      <c r="F38" s="167"/>
      <c r="G38" s="186"/>
    </row>
    <row r="39" spans="2:7" ht="12.95" customHeight="1" x14ac:dyDescent="0.25">
      <c r="B39" s="106" t="s">
        <v>176</v>
      </c>
      <c r="C39" s="106"/>
      <c r="D39" s="168">
        <v>2016</v>
      </c>
      <c r="E39" s="186">
        <f>SUM(F39:G39)</f>
        <v>5841</v>
      </c>
      <c r="F39" s="167">
        <v>1295</v>
      </c>
      <c r="G39" s="167">
        <v>4546</v>
      </c>
    </row>
    <row r="40" spans="2:7" ht="12.95" customHeight="1" x14ac:dyDescent="0.25">
      <c r="B40" s="106"/>
      <c r="C40" s="106"/>
      <c r="D40" s="168">
        <v>2017</v>
      </c>
      <c r="E40" s="186">
        <f t="shared" ref="E40:E41" si="7">SUM(F40:G40)</f>
        <v>5326</v>
      </c>
      <c r="F40" s="167">
        <v>1140</v>
      </c>
      <c r="G40" s="167">
        <v>4186</v>
      </c>
    </row>
    <row r="41" spans="2:7" ht="12.95" customHeight="1" x14ac:dyDescent="0.25">
      <c r="B41" s="106"/>
      <c r="C41" s="106"/>
      <c r="D41" s="168">
        <v>2018</v>
      </c>
      <c r="E41" s="186">
        <f t="shared" si="7"/>
        <v>5128</v>
      </c>
      <c r="F41" s="167">
        <v>1005</v>
      </c>
      <c r="G41" s="167">
        <v>4123</v>
      </c>
    </row>
    <row r="42" spans="2:7" ht="8.1" customHeight="1" x14ac:dyDescent="0.25">
      <c r="B42" s="106"/>
      <c r="C42" s="106"/>
      <c r="D42" s="162"/>
      <c r="E42" s="186"/>
      <c r="F42" s="167"/>
      <c r="G42" s="186"/>
    </row>
    <row r="43" spans="2:7" ht="12.95" customHeight="1" x14ac:dyDescent="0.25">
      <c r="B43" s="106" t="s">
        <v>49</v>
      </c>
      <c r="C43" s="106"/>
      <c r="D43" s="168">
        <v>2016</v>
      </c>
      <c r="E43" s="186">
        <f>SUM(F43:G43)</f>
        <v>655</v>
      </c>
      <c r="F43" s="167">
        <v>109</v>
      </c>
      <c r="G43" s="186">
        <v>546</v>
      </c>
    </row>
    <row r="44" spans="2:7" ht="12.95" customHeight="1" x14ac:dyDescent="0.25">
      <c r="B44" s="106"/>
      <c r="C44" s="106"/>
      <c r="D44" s="168">
        <v>2017</v>
      </c>
      <c r="E44" s="186">
        <f t="shared" ref="E44:E45" si="8">SUM(F44:G44)</f>
        <v>603</v>
      </c>
      <c r="F44" s="167">
        <v>132</v>
      </c>
      <c r="G44" s="186">
        <v>471</v>
      </c>
    </row>
    <row r="45" spans="2:7" ht="12.95" customHeight="1" x14ac:dyDescent="0.25">
      <c r="B45" s="106"/>
      <c r="C45" s="106"/>
      <c r="D45" s="168">
        <v>2018</v>
      </c>
      <c r="E45" s="186">
        <f t="shared" si="8"/>
        <v>563</v>
      </c>
      <c r="F45" s="167">
        <v>126</v>
      </c>
      <c r="G45" s="186">
        <v>437</v>
      </c>
    </row>
    <row r="46" spans="2:7" ht="8.1" customHeight="1" x14ac:dyDescent="0.25">
      <c r="B46" s="106"/>
      <c r="C46" s="106"/>
      <c r="D46" s="162"/>
      <c r="E46" s="186"/>
      <c r="F46" s="167"/>
      <c r="G46" s="186"/>
    </row>
    <row r="47" spans="2:7" ht="12.95" customHeight="1" x14ac:dyDescent="0.25">
      <c r="B47" s="106" t="s">
        <v>50</v>
      </c>
      <c r="C47" s="106"/>
      <c r="D47" s="168">
        <v>2016</v>
      </c>
      <c r="E47" s="186">
        <f>SUM(F47:G47)</f>
        <v>6116</v>
      </c>
      <c r="F47" s="167">
        <v>1038</v>
      </c>
      <c r="G47" s="186">
        <v>5078</v>
      </c>
    </row>
    <row r="48" spans="2:7" ht="12.95" customHeight="1" x14ac:dyDescent="0.25">
      <c r="B48" s="106"/>
      <c r="C48" s="106"/>
      <c r="D48" s="168">
        <v>2017</v>
      </c>
      <c r="E48" s="186">
        <f>SUM(F48:G48)</f>
        <v>5551</v>
      </c>
      <c r="F48" s="167">
        <v>1078</v>
      </c>
      <c r="G48" s="186">
        <v>4473</v>
      </c>
    </row>
    <row r="49" spans="2:7" ht="12.95" customHeight="1" x14ac:dyDescent="0.25">
      <c r="B49" s="106"/>
      <c r="C49" s="106"/>
      <c r="D49" s="168">
        <v>2018</v>
      </c>
      <c r="E49" s="186">
        <f t="shared" ref="E49" si="9">SUM(F49:G49)</f>
        <v>5017</v>
      </c>
      <c r="F49" s="167">
        <v>890</v>
      </c>
      <c r="G49" s="186">
        <v>4127</v>
      </c>
    </row>
    <row r="50" spans="2:7" ht="8.1" customHeight="1" x14ac:dyDescent="0.25">
      <c r="B50" s="106"/>
      <c r="C50" s="106"/>
      <c r="D50" s="162"/>
      <c r="E50" s="186"/>
      <c r="F50" s="167"/>
      <c r="G50" s="186"/>
    </row>
    <row r="51" spans="2:7" ht="12.95" customHeight="1" x14ac:dyDescent="0.25">
      <c r="B51" s="106" t="s">
        <v>264</v>
      </c>
      <c r="C51" s="106"/>
      <c r="D51" s="168">
        <v>2016</v>
      </c>
      <c r="E51" s="186">
        <f>SUM(F51:G51)</f>
        <v>5367</v>
      </c>
      <c r="F51" s="167">
        <v>647</v>
      </c>
      <c r="G51" s="167">
        <v>4720</v>
      </c>
    </row>
    <row r="52" spans="2:7" ht="12.95" customHeight="1" x14ac:dyDescent="0.25">
      <c r="B52" s="106"/>
      <c r="C52" s="106"/>
      <c r="D52" s="168">
        <v>2017</v>
      </c>
      <c r="E52" s="186">
        <f t="shared" ref="E52:E53" si="10">SUM(F52:G52)</f>
        <v>6236</v>
      </c>
      <c r="F52" s="167">
        <v>761</v>
      </c>
      <c r="G52" s="167">
        <v>5475</v>
      </c>
    </row>
    <row r="53" spans="2:7" ht="12.95" customHeight="1" x14ac:dyDescent="0.25">
      <c r="B53" s="106"/>
      <c r="C53" s="106"/>
      <c r="D53" s="168">
        <v>2018</v>
      </c>
      <c r="E53" s="186">
        <f t="shared" si="10"/>
        <v>6151</v>
      </c>
      <c r="F53" s="167">
        <v>580</v>
      </c>
      <c r="G53" s="167">
        <v>5571</v>
      </c>
    </row>
    <row r="54" spans="2:7" ht="8.1" customHeight="1" x14ac:dyDescent="0.25">
      <c r="B54" s="106"/>
      <c r="C54" s="106"/>
      <c r="D54" s="162"/>
      <c r="E54" s="186"/>
      <c r="F54" s="167"/>
      <c r="G54" s="186"/>
    </row>
    <row r="55" spans="2:7" ht="12.95" customHeight="1" x14ac:dyDescent="0.25">
      <c r="B55" s="106" t="s">
        <v>126</v>
      </c>
      <c r="C55" s="106"/>
      <c r="D55" s="168">
        <v>2016</v>
      </c>
      <c r="E55" s="186">
        <f>SUM(F55:G55)</f>
        <v>6826</v>
      </c>
      <c r="F55" s="167">
        <v>953</v>
      </c>
      <c r="G55" s="167">
        <v>5873</v>
      </c>
    </row>
    <row r="56" spans="2:7" ht="12.95" customHeight="1" x14ac:dyDescent="0.25">
      <c r="B56" s="106"/>
      <c r="C56" s="106"/>
      <c r="D56" s="168">
        <v>2017</v>
      </c>
      <c r="E56" s="186">
        <f t="shared" ref="E56:E57" si="11">SUM(F56:G56)</f>
        <v>6381</v>
      </c>
      <c r="F56" s="167">
        <v>876</v>
      </c>
      <c r="G56" s="167">
        <v>5505</v>
      </c>
    </row>
    <row r="57" spans="2:7" ht="12.95" customHeight="1" x14ac:dyDescent="0.25">
      <c r="B57" s="106"/>
      <c r="C57" s="106"/>
      <c r="D57" s="168">
        <v>2018</v>
      </c>
      <c r="E57" s="186">
        <f t="shared" si="11"/>
        <v>5830</v>
      </c>
      <c r="F57" s="167">
        <v>811</v>
      </c>
      <c r="G57" s="167">
        <v>5019</v>
      </c>
    </row>
    <row r="58" spans="2:7" ht="8.1" customHeight="1" x14ac:dyDescent="0.25">
      <c r="B58" s="106"/>
      <c r="C58" s="106"/>
      <c r="D58" s="162"/>
      <c r="E58" s="186"/>
      <c r="F58" s="167"/>
      <c r="G58" s="186"/>
    </row>
    <row r="59" spans="2:7" ht="12.95" customHeight="1" x14ac:dyDescent="0.25">
      <c r="B59" s="106" t="s">
        <v>102</v>
      </c>
      <c r="C59" s="106"/>
      <c r="D59" s="168">
        <v>2016</v>
      </c>
      <c r="E59" s="186">
        <f>SUM(F59:G59)</f>
        <v>31223</v>
      </c>
      <c r="F59" s="167">
        <v>6611</v>
      </c>
      <c r="G59" s="186">
        <v>24612</v>
      </c>
    </row>
    <row r="60" spans="2:7" ht="12.95" customHeight="1" x14ac:dyDescent="0.25">
      <c r="B60" s="106"/>
      <c r="C60" s="106"/>
      <c r="D60" s="168">
        <v>2017</v>
      </c>
      <c r="E60" s="186">
        <f t="shared" ref="E60" si="12">SUM(F60:G60)</f>
        <v>26069</v>
      </c>
      <c r="F60" s="167">
        <v>6470</v>
      </c>
      <c r="G60" s="186">
        <v>19599</v>
      </c>
    </row>
    <row r="61" spans="2:7" ht="12.95" customHeight="1" x14ac:dyDescent="0.25">
      <c r="B61" s="106"/>
      <c r="C61" s="106"/>
      <c r="D61" s="168">
        <v>2018</v>
      </c>
      <c r="E61" s="186">
        <f>SUM(F61:G61)</f>
        <v>21420</v>
      </c>
      <c r="F61" s="167">
        <v>4658</v>
      </c>
      <c r="G61" s="186">
        <v>16762</v>
      </c>
    </row>
    <row r="62" spans="2:7" ht="8.1" customHeight="1" x14ac:dyDescent="0.25">
      <c r="B62" s="106"/>
      <c r="C62" s="106"/>
      <c r="D62" s="162"/>
      <c r="E62" s="186"/>
      <c r="F62" s="167"/>
      <c r="G62" s="186"/>
    </row>
    <row r="63" spans="2:7" ht="12.95" customHeight="1" x14ac:dyDescent="0.25">
      <c r="B63" s="106" t="s">
        <v>118</v>
      </c>
      <c r="C63" s="106"/>
      <c r="D63" s="168">
        <v>2016</v>
      </c>
      <c r="E63" s="186">
        <f>SUM(F63:G63)</f>
        <v>2494</v>
      </c>
      <c r="F63" s="165">
        <v>407</v>
      </c>
      <c r="G63" s="167">
        <v>2087</v>
      </c>
    </row>
    <row r="64" spans="2:7" ht="12.95" customHeight="1" x14ac:dyDescent="0.25">
      <c r="B64" s="106"/>
      <c r="C64" s="106"/>
      <c r="D64" s="168">
        <v>2017</v>
      </c>
      <c r="E64" s="186">
        <f t="shared" ref="E64:E65" si="13">SUM(F64:G64)</f>
        <v>2257</v>
      </c>
      <c r="F64" s="167">
        <v>354</v>
      </c>
      <c r="G64" s="167">
        <v>1903</v>
      </c>
    </row>
    <row r="65" spans="1:8" ht="12.95" customHeight="1" x14ac:dyDescent="0.25">
      <c r="B65" s="106"/>
      <c r="C65" s="106"/>
      <c r="D65" s="168">
        <v>2018</v>
      </c>
      <c r="E65" s="186">
        <f t="shared" si="13"/>
        <v>1823</v>
      </c>
      <c r="F65" s="165">
        <v>291</v>
      </c>
      <c r="G65" s="165">
        <v>1532</v>
      </c>
    </row>
    <row r="66" spans="1:8" ht="8.1" customHeight="1" x14ac:dyDescent="0.25">
      <c r="B66" s="106"/>
      <c r="C66" s="106"/>
      <c r="D66" s="162"/>
      <c r="E66" s="186"/>
      <c r="F66" s="167"/>
      <c r="G66" s="186"/>
    </row>
    <row r="67" spans="1:8" ht="12.95" customHeight="1" x14ac:dyDescent="0.25">
      <c r="B67" s="106" t="s">
        <v>263</v>
      </c>
      <c r="C67" s="106"/>
      <c r="D67" s="168">
        <v>2016</v>
      </c>
      <c r="E67" s="186">
        <f>SUM(F67:G67)</f>
        <v>16989</v>
      </c>
      <c r="F67" s="167">
        <v>3776</v>
      </c>
      <c r="G67" s="186">
        <v>13213</v>
      </c>
    </row>
    <row r="68" spans="1:8" ht="12.95" customHeight="1" x14ac:dyDescent="0.25">
      <c r="B68" s="106"/>
      <c r="C68" s="106"/>
      <c r="D68" s="162">
        <v>2017</v>
      </c>
      <c r="E68" s="186">
        <f t="shared" ref="E68:E69" si="14">SUM(F68:G68)</f>
        <v>13482</v>
      </c>
      <c r="F68" s="167">
        <v>3999</v>
      </c>
      <c r="G68" s="186">
        <v>9483</v>
      </c>
    </row>
    <row r="69" spans="1:8" ht="12.95" customHeight="1" x14ac:dyDescent="0.25">
      <c r="A69" s="37"/>
      <c r="B69" s="85"/>
      <c r="C69" s="85"/>
      <c r="D69" s="168">
        <v>2018</v>
      </c>
      <c r="E69" s="186">
        <f t="shared" si="14"/>
        <v>12127</v>
      </c>
      <c r="F69" s="167">
        <v>3137</v>
      </c>
      <c r="G69" s="167">
        <v>8990</v>
      </c>
      <c r="H69" s="37"/>
    </row>
    <row r="70" spans="1:8" ht="8.1" customHeight="1" thickBot="1" x14ac:dyDescent="0.3">
      <c r="A70" s="50"/>
      <c r="B70" s="187"/>
      <c r="C70" s="187"/>
      <c r="D70" s="187"/>
      <c r="E70" s="188"/>
      <c r="F70" s="189"/>
      <c r="G70" s="189"/>
      <c r="H70" s="50"/>
    </row>
    <row r="71" spans="1:8" x14ac:dyDescent="0.2">
      <c r="H71" s="190" t="s">
        <v>101</v>
      </c>
    </row>
    <row r="72" spans="1:8" x14ac:dyDescent="0.25">
      <c r="A72" s="451" t="s">
        <v>265</v>
      </c>
      <c r="H72" s="191" t="s">
        <v>1</v>
      </c>
    </row>
    <row r="73" spans="1:8" s="452" customFormat="1" ht="11.25" x14ac:dyDescent="0.25">
      <c r="A73" s="452" t="s">
        <v>266</v>
      </c>
      <c r="B73" s="453"/>
      <c r="C73" s="453"/>
      <c r="D73" s="453"/>
      <c r="E73" s="454"/>
      <c r="F73" s="454"/>
      <c r="G73" s="454"/>
    </row>
    <row r="74" spans="1:8" x14ac:dyDescent="0.25">
      <c r="A74" s="455" t="s">
        <v>267</v>
      </c>
    </row>
    <row r="75" spans="1:8" s="452" customFormat="1" ht="11.25" x14ac:dyDescent="0.25">
      <c r="A75" s="452" t="s">
        <v>268</v>
      </c>
      <c r="B75" s="453"/>
      <c r="C75" s="453"/>
      <c r="D75" s="453"/>
      <c r="E75" s="454"/>
      <c r="F75" s="454"/>
      <c r="G75" s="454"/>
    </row>
    <row r="76" spans="1:8" x14ac:dyDescent="0.25">
      <c r="A76" s="455" t="s">
        <v>269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topLeftCell="B19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0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71"/>
    </row>
    <row r="4" spans="1:8" s="30" customFormat="1" ht="12" customHeight="1" x14ac:dyDescent="0.25">
      <c r="B4" s="27"/>
      <c r="C4" s="27"/>
      <c r="D4" s="27"/>
      <c r="E4" s="28"/>
      <c r="F4" s="29"/>
      <c r="G4" s="71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8" s="53" customFormat="1" ht="33" customHeight="1" x14ac:dyDescent="0.2">
      <c r="A9" s="348"/>
      <c r="B9" s="464"/>
      <c r="C9" s="464"/>
      <c r="D9" s="458"/>
      <c r="E9" s="458"/>
      <c r="F9" s="460"/>
      <c r="G9" s="460"/>
      <c r="H9" s="344"/>
    </row>
    <row r="10" spans="1:8" s="6" customFormat="1" ht="8.1" customHeight="1" x14ac:dyDescent="0.25">
      <c r="B10" s="39"/>
      <c r="C10" s="13"/>
      <c r="D10" s="13"/>
      <c r="E10" s="9"/>
      <c r="F10" s="9"/>
      <c r="G10" s="9"/>
    </row>
    <row r="11" spans="1:8" s="105" customFormat="1" ht="15" customHeight="1" x14ac:dyDescent="0.2">
      <c r="B11" s="64" t="s">
        <v>155</v>
      </c>
      <c r="C11" s="64"/>
      <c r="D11" s="65">
        <v>2016</v>
      </c>
      <c r="E11" s="166">
        <f>E15+E19+E23+E27+E31+E35+E39+E43+E47+'1.3Sbh (2)'!E11+'1.3Sbh (2)'!E15+'1.3Sbh (2)'!E19+'1.3Sbh (2)'!E23+'1.3Sbh (2)'!E27+'1.3Sbh (2)'!E31+'1.3Sbh (2)'!E35+'1.3Sbh (2)'!E39+'1.3Sbh (2)'!E43+'1.3Sbh (2)'!E47+'1.3Sbh (2)'!E51</f>
        <v>5366</v>
      </c>
      <c r="F11" s="166">
        <v>647</v>
      </c>
      <c r="G11" s="166">
        <v>4720</v>
      </c>
    </row>
    <row r="12" spans="1:8" s="105" customFormat="1" ht="15" customHeight="1" x14ac:dyDescent="0.2">
      <c r="C12" s="64"/>
      <c r="D12" s="65">
        <v>2017</v>
      </c>
      <c r="E12" s="166">
        <f>E16+E20+E24+E28+E32+E36+E40+E44+E48+'1.3Sbh (2)'!E12+'1.3Sbh (2)'!E16+'1.3Sbh (2)'!E20+'1.3Sbh (2)'!E24+'1.3Sbh (2)'!E28+'1.3Sbh (2)'!E32+'1.3Sbh (2)'!E36+'1.3Sbh (2)'!E40+'1.3Sbh (2)'!E44+'1.3Sbh (2)'!E48+'1.3Sbh (2)'!E52</f>
        <v>6236</v>
      </c>
      <c r="F12" s="166">
        <v>761</v>
      </c>
      <c r="G12" s="166">
        <v>5475</v>
      </c>
    </row>
    <row r="13" spans="1:8" s="105" customFormat="1" ht="15" customHeight="1" x14ac:dyDescent="0.2">
      <c r="C13" s="64"/>
      <c r="D13" s="65">
        <v>2018</v>
      </c>
      <c r="E13" s="166">
        <f>SUM(F13:G13)</f>
        <v>6151</v>
      </c>
      <c r="F13" s="166">
        <v>580</v>
      </c>
      <c r="G13" s="166">
        <v>5571</v>
      </c>
    </row>
    <row r="14" spans="1:8" s="6" customFormat="1" ht="8.1" customHeight="1" x14ac:dyDescent="0.25">
      <c r="B14" s="39"/>
      <c r="C14" s="13"/>
      <c r="D14" s="65"/>
      <c r="E14" s="9"/>
      <c r="F14" s="9"/>
      <c r="G14" s="9"/>
    </row>
    <row r="15" spans="1:8" s="105" customFormat="1" ht="15" customHeight="1" x14ac:dyDescent="0.2">
      <c r="B15" s="58" t="s">
        <v>156</v>
      </c>
      <c r="C15" s="64"/>
      <c r="D15" s="162">
        <v>2016</v>
      </c>
      <c r="E15" s="167">
        <f>SUM(F15:G15)</f>
        <v>135</v>
      </c>
      <c r="F15" s="167">
        <v>16</v>
      </c>
      <c r="G15" s="167">
        <v>119</v>
      </c>
    </row>
    <row r="16" spans="1:8" s="105" customFormat="1" ht="15" customHeight="1" x14ac:dyDescent="0.2">
      <c r="C16" s="64"/>
      <c r="D16" s="162">
        <v>2017</v>
      </c>
      <c r="E16" s="167">
        <f t="shared" ref="E16:E17" si="0">SUM(F16:G16)</f>
        <v>158</v>
      </c>
      <c r="F16" s="167">
        <v>22</v>
      </c>
      <c r="G16" s="167">
        <v>136</v>
      </c>
    </row>
    <row r="17" spans="2:7" s="105" customFormat="1" ht="15" customHeight="1" x14ac:dyDescent="0.2">
      <c r="C17" s="58"/>
      <c r="D17" s="162">
        <v>2018</v>
      </c>
      <c r="E17" s="167">
        <f t="shared" si="0"/>
        <v>188</v>
      </c>
      <c r="F17" s="167">
        <v>12</v>
      </c>
      <c r="G17" s="167">
        <v>176</v>
      </c>
    </row>
    <row r="18" spans="2:7" s="105" customFormat="1" ht="12.95" customHeight="1" x14ac:dyDescent="0.2">
      <c r="C18" s="58"/>
      <c r="D18" s="162"/>
      <c r="E18" s="10"/>
      <c r="F18" s="167"/>
      <c r="G18" s="167"/>
    </row>
    <row r="19" spans="2:7" s="105" customFormat="1" ht="15" customHeight="1" x14ac:dyDescent="0.2">
      <c r="B19" s="58" t="s">
        <v>157</v>
      </c>
      <c r="C19" s="58"/>
      <c r="D19" s="162">
        <v>2016</v>
      </c>
      <c r="E19" s="167">
        <f>SUM(F19:G19)</f>
        <v>58</v>
      </c>
      <c r="F19" s="167">
        <v>16</v>
      </c>
      <c r="G19" s="167">
        <v>42</v>
      </c>
    </row>
    <row r="20" spans="2:7" s="105" customFormat="1" ht="15" customHeight="1" x14ac:dyDescent="0.2">
      <c r="C20" s="58"/>
      <c r="D20" s="162">
        <v>2017</v>
      </c>
      <c r="E20" s="167">
        <f t="shared" ref="E20:E21" si="1">SUM(F20:G20)</f>
        <v>77</v>
      </c>
      <c r="F20" s="167">
        <v>21</v>
      </c>
      <c r="G20" s="167">
        <v>56</v>
      </c>
    </row>
    <row r="21" spans="2:7" s="105" customFormat="1" ht="15" customHeight="1" x14ac:dyDescent="0.2">
      <c r="C21" s="58"/>
      <c r="D21" s="162">
        <v>2018</v>
      </c>
      <c r="E21" s="167">
        <f t="shared" si="1"/>
        <v>75</v>
      </c>
      <c r="F21" s="167">
        <v>14</v>
      </c>
      <c r="G21" s="167">
        <v>61</v>
      </c>
    </row>
    <row r="22" spans="2:7" s="105" customFormat="1" ht="12.95" customHeight="1" x14ac:dyDescent="0.2">
      <c r="C22" s="58"/>
      <c r="D22" s="162"/>
      <c r="E22" s="10"/>
      <c r="F22" s="167"/>
      <c r="G22" s="167"/>
    </row>
    <row r="23" spans="2:7" s="105" customFormat="1" ht="15" customHeight="1" x14ac:dyDescent="0.2">
      <c r="B23" s="58" t="s">
        <v>158</v>
      </c>
      <c r="C23" s="58"/>
      <c r="D23" s="162">
        <v>2016</v>
      </c>
      <c r="E23" s="167">
        <f>SUM(F23:G23)</f>
        <v>227</v>
      </c>
      <c r="F23" s="167">
        <v>58</v>
      </c>
      <c r="G23" s="167">
        <v>169</v>
      </c>
    </row>
    <row r="24" spans="2:7" s="105" customFormat="1" ht="15" customHeight="1" x14ac:dyDescent="0.2">
      <c r="C24" s="58"/>
      <c r="D24" s="162">
        <v>2017</v>
      </c>
      <c r="E24" s="167">
        <f t="shared" ref="E24:E25" si="2">SUM(F24:G24)</f>
        <v>200</v>
      </c>
      <c r="F24" s="167">
        <v>39</v>
      </c>
      <c r="G24" s="167">
        <v>161</v>
      </c>
    </row>
    <row r="25" spans="2:7" s="105" customFormat="1" ht="15" customHeight="1" x14ac:dyDescent="0.2">
      <c r="C25" s="58"/>
      <c r="D25" s="162">
        <v>2018</v>
      </c>
      <c r="E25" s="167">
        <f t="shared" si="2"/>
        <v>186</v>
      </c>
      <c r="F25" s="167">
        <v>38</v>
      </c>
      <c r="G25" s="167">
        <v>148</v>
      </c>
    </row>
    <row r="26" spans="2:7" s="105" customFormat="1" ht="12.95" customHeight="1" x14ac:dyDescent="0.2">
      <c r="C26" s="58"/>
      <c r="D26" s="162"/>
      <c r="E26" s="10"/>
      <c r="F26" s="167"/>
      <c r="G26" s="167"/>
    </row>
    <row r="27" spans="2:7" s="105" customFormat="1" ht="15" customHeight="1" x14ac:dyDescent="0.2">
      <c r="B27" s="58" t="s">
        <v>159</v>
      </c>
      <c r="C27" s="106"/>
      <c r="D27" s="162">
        <v>2016</v>
      </c>
      <c r="E27" s="167">
        <f>SUM(F27:G27)</f>
        <v>154</v>
      </c>
      <c r="F27" s="165">
        <v>22</v>
      </c>
      <c r="G27" s="167">
        <v>132</v>
      </c>
    </row>
    <row r="28" spans="2:7" s="105" customFormat="1" ht="15" customHeight="1" x14ac:dyDescent="0.2">
      <c r="C28" s="106"/>
      <c r="D28" s="162">
        <v>2017</v>
      </c>
      <c r="E28" s="167">
        <f t="shared" ref="E28:E29" si="3">SUM(F28:G28)</f>
        <v>217</v>
      </c>
      <c r="F28" s="165">
        <v>33</v>
      </c>
      <c r="G28" s="167">
        <v>184</v>
      </c>
    </row>
    <row r="29" spans="2:7" s="105" customFormat="1" ht="15" customHeight="1" x14ac:dyDescent="0.2">
      <c r="C29" s="58"/>
      <c r="D29" s="162">
        <v>2018</v>
      </c>
      <c r="E29" s="167">
        <f t="shared" si="3"/>
        <v>181</v>
      </c>
      <c r="F29" s="165">
        <v>20</v>
      </c>
      <c r="G29" s="165">
        <v>161</v>
      </c>
    </row>
    <row r="30" spans="2:7" s="105" customFormat="1" ht="12.95" customHeight="1" x14ac:dyDescent="0.2">
      <c r="C30" s="58"/>
      <c r="D30" s="162"/>
      <c r="E30" s="10"/>
      <c r="F30" s="165"/>
      <c r="G30" s="165"/>
    </row>
    <row r="31" spans="2:7" s="105" customFormat="1" ht="15" customHeight="1" x14ac:dyDescent="0.2">
      <c r="B31" s="58" t="s">
        <v>160</v>
      </c>
      <c r="C31" s="58"/>
      <c r="D31" s="162">
        <v>2016</v>
      </c>
      <c r="E31" s="167">
        <f>SUM(F31:G31)</f>
        <v>1352</v>
      </c>
      <c r="F31" s="167">
        <v>107</v>
      </c>
      <c r="G31" s="167">
        <v>1245</v>
      </c>
    </row>
    <row r="32" spans="2:7" s="105" customFormat="1" ht="15" customHeight="1" x14ac:dyDescent="0.2">
      <c r="C32" s="58"/>
      <c r="D32" s="162">
        <v>2017</v>
      </c>
      <c r="E32" s="167">
        <f t="shared" ref="E32:E33" si="4">SUM(F32:G32)</f>
        <v>1538</v>
      </c>
      <c r="F32" s="167">
        <v>151</v>
      </c>
      <c r="G32" s="167">
        <v>1387</v>
      </c>
    </row>
    <row r="33" spans="2:7" s="105" customFormat="1" ht="15" customHeight="1" x14ac:dyDescent="0.2">
      <c r="C33" s="58"/>
      <c r="D33" s="162">
        <v>2018</v>
      </c>
      <c r="E33" s="167">
        <f t="shared" si="4"/>
        <v>1431</v>
      </c>
      <c r="F33" s="165">
        <v>98</v>
      </c>
      <c r="G33" s="167">
        <v>1333</v>
      </c>
    </row>
    <row r="34" spans="2:7" s="105" customFormat="1" ht="12.95" customHeight="1" x14ac:dyDescent="0.2">
      <c r="C34" s="58"/>
      <c r="D34" s="162"/>
      <c r="E34" s="10"/>
      <c r="F34" s="165"/>
      <c r="G34" s="167"/>
    </row>
    <row r="35" spans="2:7" s="105" customFormat="1" ht="15" customHeight="1" x14ac:dyDescent="0.2">
      <c r="B35" s="58" t="s">
        <v>161</v>
      </c>
      <c r="C35" s="58"/>
      <c r="D35" s="162">
        <v>2016</v>
      </c>
      <c r="E35" s="167">
        <f>SUM(F35:G35)</f>
        <v>57</v>
      </c>
      <c r="F35" s="167">
        <v>18</v>
      </c>
      <c r="G35" s="167">
        <v>39</v>
      </c>
    </row>
    <row r="36" spans="2:7" s="105" customFormat="1" ht="15" customHeight="1" x14ac:dyDescent="0.2">
      <c r="C36" s="58"/>
      <c r="D36" s="162">
        <v>2017</v>
      </c>
      <c r="E36" s="167">
        <f t="shared" ref="E36:E37" si="5">SUM(F36:G36)</f>
        <v>61</v>
      </c>
      <c r="F36" s="167">
        <v>14</v>
      </c>
      <c r="G36" s="167">
        <v>47</v>
      </c>
    </row>
    <row r="37" spans="2:7" s="105" customFormat="1" ht="15" customHeight="1" x14ac:dyDescent="0.2">
      <c r="C37" s="58"/>
      <c r="D37" s="162">
        <v>2018</v>
      </c>
      <c r="E37" s="167">
        <f t="shared" si="5"/>
        <v>80</v>
      </c>
      <c r="F37" s="167">
        <v>16</v>
      </c>
      <c r="G37" s="167">
        <v>64</v>
      </c>
    </row>
    <row r="38" spans="2:7" s="105" customFormat="1" ht="12.95" customHeight="1" x14ac:dyDescent="0.2">
      <c r="C38" s="58"/>
      <c r="D38" s="162"/>
      <c r="E38" s="10"/>
      <c r="F38" s="167"/>
      <c r="G38" s="167"/>
    </row>
    <row r="39" spans="2:7" s="105" customFormat="1" ht="15" customHeight="1" x14ac:dyDescent="0.2">
      <c r="B39" s="58" t="s">
        <v>162</v>
      </c>
      <c r="C39" s="58"/>
      <c r="D39" s="162">
        <v>2016</v>
      </c>
      <c r="E39" s="167">
        <f>SUM(F39:G39)</f>
        <v>69</v>
      </c>
      <c r="F39" s="165">
        <v>18</v>
      </c>
      <c r="G39" s="167">
        <v>51</v>
      </c>
    </row>
    <row r="40" spans="2:7" s="105" customFormat="1" ht="15" customHeight="1" x14ac:dyDescent="0.2">
      <c r="C40" s="58"/>
      <c r="D40" s="162">
        <v>2017</v>
      </c>
      <c r="E40" s="167">
        <f t="shared" ref="E40:E41" si="6">SUM(F40:G40)</f>
        <v>102</v>
      </c>
      <c r="F40" s="167">
        <v>16</v>
      </c>
      <c r="G40" s="167">
        <v>86</v>
      </c>
    </row>
    <row r="41" spans="2:7" s="105" customFormat="1" ht="15" customHeight="1" x14ac:dyDescent="0.2">
      <c r="C41" s="58"/>
      <c r="D41" s="162">
        <v>2018</v>
      </c>
      <c r="E41" s="167">
        <f t="shared" si="6"/>
        <v>118</v>
      </c>
      <c r="F41" s="167">
        <v>11</v>
      </c>
      <c r="G41" s="167">
        <v>107</v>
      </c>
    </row>
    <row r="42" spans="2:7" s="105" customFormat="1" ht="12.95" customHeight="1" x14ac:dyDescent="0.2">
      <c r="C42" s="58"/>
      <c r="D42" s="162"/>
      <c r="E42" s="10"/>
      <c r="F42" s="167"/>
      <c r="G42" s="167"/>
    </row>
    <row r="43" spans="2:7" s="105" customFormat="1" ht="15" customHeight="1" x14ac:dyDescent="0.2">
      <c r="B43" s="58" t="s">
        <v>163</v>
      </c>
      <c r="C43" s="58"/>
      <c r="D43" s="162">
        <v>2016</v>
      </c>
      <c r="E43" s="167">
        <f>SUM(F43:G43)</f>
        <v>59</v>
      </c>
      <c r="F43" s="165">
        <v>8</v>
      </c>
      <c r="G43" s="167">
        <v>51</v>
      </c>
    </row>
    <row r="44" spans="2:7" s="105" customFormat="1" ht="15" customHeight="1" x14ac:dyDescent="0.2">
      <c r="C44" s="58"/>
      <c r="D44" s="162">
        <v>2017</v>
      </c>
      <c r="E44" s="167">
        <f t="shared" ref="E44:E45" si="7">SUM(F44:G44)</f>
        <v>56</v>
      </c>
      <c r="F44" s="167">
        <v>14</v>
      </c>
      <c r="G44" s="167">
        <v>42</v>
      </c>
    </row>
    <row r="45" spans="2:7" s="105" customFormat="1" ht="15" customHeight="1" x14ac:dyDescent="0.2">
      <c r="C45" s="58"/>
      <c r="D45" s="162">
        <v>2018</v>
      </c>
      <c r="E45" s="167">
        <f t="shared" si="7"/>
        <v>53</v>
      </c>
      <c r="F45" s="165">
        <v>11</v>
      </c>
      <c r="G45" s="167">
        <v>42</v>
      </c>
    </row>
    <row r="46" spans="2:7" s="105" customFormat="1" ht="12.95" customHeight="1" x14ac:dyDescent="0.2">
      <c r="C46" s="58"/>
      <c r="D46" s="162"/>
      <c r="E46" s="10"/>
      <c r="F46" s="165"/>
      <c r="G46" s="167"/>
    </row>
    <row r="47" spans="2:7" s="105" customFormat="1" ht="15" customHeight="1" x14ac:dyDescent="0.2">
      <c r="B47" s="58" t="s">
        <v>164</v>
      </c>
      <c r="C47" s="58"/>
      <c r="D47" s="162">
        <v>2016</v>
      </c>
      <c r="E47" s="167">
        <f>SUM(F47:G47)</f>
        <v>86</v>
      </c>
      <c r="F47" s="165">
        <v>12</v>
      </c>
      <c r="G47" s="167">
        <v>74</v>
      </c>
    </row>
    <row r="48" spans="2:7" s="105" customFormat="1" ht="15" customHeight="1" x14ac:dyDescent="0.2">
      <c r="C48" s="58"/>
      <c r="D48" s="162">
        <v>2017</v>
      </c>
      <c r="E48" s="167">
        <f t="shared" ref="E48:E49" si="8">SUM(F48:G48)</f>
        <v>95</v>
      </c>
      <c r="F48" s="165">
        <v>8</v>
      </c>
      <c r="G48" s="167">
        <v>87</v>
      </c>
    </row>
    <row r="49" spans="1:8" s="105" customFormat="1" ht="15" customHeight="1" x14ac:dyDescent="0.2">
      <c r="C49" s="58"/>
      <c r="D49" s="162">
        <v>2018</v>
      </c>
      <c r="E49" s="167">
        <f t="shared" si="8"/>
        <v>49</v>
      </c>
      <c r="F49" s="165">
        <v>7</v>
      </c>
      <c r="G49" s="167">
        <v>42</v>
      </c>
    </row>
    <row r="50" spans="1:8" s="105" customFormat="1" ht="12.95" customHeight="1" thickBot="1" x14ac:dyDescent="0.25">
      <c r="A50" s="108"/>
      <c r="B50" s="108"/>
      <c r="C50" s="60"/>
      <c r="D50" s="136"/>
      <c r="E50" s="12"/>
      <c r="F50" s="61"/>
      <c r="G50" s="61"/>
      <c r="H50" s="108"/>
    </row>
    <row r="51" spans="1:8" x14ac:dyDescent="0.25">
      <c r="D51" s="133"/>
      <c r="G51" s="115" t="s">
        <v>101</v>
      </c>
    </row>
    <row r="52" spans="1:8" x14ac:dyDescent="0.25">
      <c r="D52" s="133"/>
      <c r="G52" s="41" t="s">
        <v>1</v>
      </c>
    </row>
    <row r="53" spans="1:8" x14ac:dyDescent="0.25">
      <c r="D53" s="133"/>
    </row>
    <row r="54" spans="1:8" s="37" customFormat="1" x14ac:dyDescent="0.25">
      <c r="B54" s="38"/>
      <c r="D54" s="38"/>
      <c r="E54" s="43"/>
      <c r="F54" s="97"/>
      <c r="G54" s="97"/>
    </row>
    <row r="55" spans="1:8" s="37" customFormat="1" x14ac:dyDescent="0.25">
      <c r="B55" s="44"/>
      <c r="D55" s="38"/>
      <c r="E55" s="43"/>
      <c r="F55" s="97"/>
      <c r="G55" s="97"/>
    </row>
    <row r="56" spans="1:8" x14ac:dyDescent="0.25">
      <c r="D56" s="133"/>
    </row>
    <row r="57" spans="1:8" x14ac:dyDescent="0.25">
      <c r="D57" s="133"/>
    </row>
    <row r="58" spans="1:8" x14ac:dyDescent="0.25">
      <c r="D58" s="133"/>
    </row>
    <row r="59" spans="1:8" x14ac:dyDescent="0.25">
      <c r="D59" s="133"/>
    </row>
    <row r="60" spans="1:8" s="3" customFormat="1" ht="15" customHeight="1" x14ac:dyDescent="0.25">
      <c r="D60" s="133"/>
      <c r="E60" s="21"/>
      <c r="F60" s="22"/>
      <c r="G60" s="22"/>
      <c r="H60" s="2"/>
    </row>
    <row r="61" spans="1:8" x14ac:dyDescent="0.25">
      <c r="D61" s="133"/>
    </row>
    <row r="62" spans="1:8" x14ac:dyDescent="0.25">
      <c r="D62" s="133"/>
    </row>
    <row r="63" spans="1:8" x14ac:dyDescent="0.25">
      <c r="D63" s="133"/>
    </row>
    <row r="64" spans="1:8" x14ac:dyDescent="0.25">
      <c r="D64" s="133"/>
    </row>
    <row r="65" spans="4:4" x14ac:dyDescent="0.25">
      <c r="D65" s="133"/>
    </row>
    <row r="66" spans="4:4" x14ac:dyDescent="0.25">
      <c r="D66" s="133"/>
    </row>
    <row r="67" spans="4:4" x14ac:dyDescent="0.25">
      <c r="D67" s="133"/>
    </row>
    <row r="68" spans="4:4" x14ac:dyDescent="0.25">
      <c r="D68" s="133"/>
    </row>
    <row r="69" spans="4:4" x14ac:dyDescent="0.25">
      <c r="D69" s="133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topLeftCell="A19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0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71"/>
    </row>
    <row r="4" spans="1:8" s="30" customFormat="1" ht="12" customHeight="1" x14ac:dyDescent="0.25">
      <c r="B4" s="27"/>
      <c r="C4" s="27"/>
      <c r="D4" s="27"/>
      <c r="E4" s="28"/>
      <c r="F4" s="29"/>
      <c r="G4" s="71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8" s="53" customFormat="1" ht="33" customHeight="1" x14ac:dyDescent="0.2">
      <c r="A9" s="348"/>
      <c r="B9" s="464"/>
      <c r="C9" s="464"/>
      <c r="D9" s="458"/>
      <c r="E9" s="458"/>
      <c r="F9" s="460"/>
      <c r="G9" s="460"/>
      <c r="H9" s="344"/>
    </row>
    <row r="10" spans="1:8" s="6" customFormat="1" ht="22.5" customHeight="1" x14ac:dyDescent="0.25">
      <c r="B10" s="127" t="s">
        <v>206</v>
      </c>
      <c r="C10" s="13"/>
      <c r="D10" s="13"/>
      <c r="E10" s="9"/>
      <c r="F10" s="9"/>
      <c r="G10" s="9"/>
    </row>
    <row r="11" spans="1:8" s="105" customFormat="1" ht="15" customHeight="1" x14ac:dyDescent="0.2">
      <c r="B11" s="58" t="s">
        <v>165</v>
      </c>
      <c r="C11" s="58"/>
      <c r="D11" s="162">
        <v>2016</v>
      </c>
      <c r="E11" s="167">
        <f>SUM(F11:G11)</f>
        <v>307</v>
      </c>
      <c r="F11" s="167">
        <v>49</v>
      </c>
      <c r="G11" s="167">
        <v>258</v>
      </c>
    </row>
    <row r="12" spans="1:8" s="105" customFormat="1" ht="15" customHeight="1" x14ac:dyDescent="0.2">
      <c r="C12" s="58"/>
      <c r="D12" s="162">
        <v>2017</v>
      </c>
      <c r="E12" s="167">
        <f t="shared" ref="E12:E13" si="0">SUM(F12:G12)</f>
        <v>284</v>
      </c>
      <c r="F12" s="167">
        <v>48</v>
      </c>
      <c r="G12" s="167">
        <v>236</v>
      </c>
    </row>
    <row r="13" spans="1:8" s="105" customFormat="1" ht="15" customHeight="1" x14ac:dyDescent="0.2">
      <c r="C13" s="58"/>
      <c r="D13" s="162">
        <v>2018</v>
      </c>
      <c r="E13" s="167">
        <f t="shared" si="0"/>
        <v>298</v>
      </c>
      <c r="F13" s="165">
        <v>49</v>
      </c>
      <c r="G13" s="167">
        <v>249</v>
      </c>
    </row>
    <row r="14" spans="1:8" s="105" customFormat="1" ht="12.95" customHeight="1" x14ac:dyDescent="0.2">
      <c r="C14" s="58"/>
      <c r="D14" s="162"/>
      <c r="E14" s="10"/>
      <c r="F14" s="165"/>
      <c r="G14" s="167"/>
    </row>
    <row r="15" spans="1:8" s="105" customFormat="1" ht="15" customHeight="1" x14ac:dyDescent="0.2">
      <c r="B15" s="58" t="s">
        <v>166</v>
      </c>
      <c r="C15" s="58"/>
      <c r="D15" s="162">
        <v>2016</v>
      </c>
      <c r="E15" s="167">
        <f>SUM(F15:G15)</f>
        <v>132</v>
      </c>
      <c r="F15" s="167">
        <v>20</v>
      </c>
      <c r="G15" s="167">
        <v>112</v>
      </c>
    </row>
    <row r="16" spans="1:8" s="105" customFormat="1" ht="15" customHeight="1" x14ac:dyDescent="0.2">
      <c r="C16" s="58"/>
      <c r="D16" s="162">
        <v>2017</v>
      </c>
      <c r="E16" s="167">
        <f t="shared" ref="E16:E17" si="1">SUM(F16:G16)</f>
        <v>287</v>
      </c>
      <c r="F16" s="167">
        <v>25</v>
      </c>
      <c r="G16" s="167">
        <v>262</v>
      </c>
    </row>
    <row r="17" spans="2:7" s="105" customFormat="1" ht="15" customHeight="1" x14ac:dyDescent="0.2">
      <c r="C17" s="58"/>
      <c r="D17" s="162">
        <v>2018</v>
      </c>
      <c r="E17" s="167">
        <f t="shared" si="1"/>
        <v>336</v>
      </c>
      <c r="F17" s="167">
        <v>42</v>
      </c>
      <c r="G17" s="167">
        <v>294</v>
      </c>
    </row>
    <row r="18" spans="2:7" s="105" customFormat="1" ht="12.95" customHeight="1" x14ac:dyDescent="0.2">
      <c r="C18" s="58"/>
      <c r="D18" s="162"/>
      <c r="E18" s="10"/>
      <c r="F18" s="167"/>
      <c r="G18" s="167"/>
    </row>
    <row r="19" spans="2:7" s="105" customFormat="1" ht="15" customHeight="1" x14ac:dyDescent="0.2">
      <c r="B19" s="107" t="s">
        <v>167</v>
      </c>
      <c r="C19" s="58"/>
      <c r="D19" s="162">
        <v>2016</v>
      </c>
      <c r="E19" s="167">
        <f>SUM(F19:G19)</f>
        <v>431</v>
      </c>
      <c r="F19" s="167">
        <v>48</v>
      </c>
      <c r="G19" s="167">
        <v>383</v>
      </c>
    </row>
    <row r="20" spans="2:7" s="105" customFormat="1" ht="15" customHeight="1" x14ac:dyDescent="0.2">
      <c r="C20" s="58"/>
      <c r="D20" s="162">
        <v>2017</v>
      </c>
      <c r="E20" s="167">
        <f t="shared" ref="E20:E21" si="2">SUM(F20:G20)</f>
        <v>613</v>
      </c>
      <c r="F20" s="167">
        <v>75</v>
      </c>
      <c r="G20" s="167">
        <v>538</v>
      </c>
    </row>
    <row r="21" spans="2:7" s="105" customFormat="1" ht="15" customHeight="1" x14ac:dyDescent="0.2">
      <c r="C21" s="107"/>
      <c r="D21" s="162">
        <v>2018</v>
      </c>
      <c r="E21" s="167">
        <f t="shared" si="2"/>
        <v>604</v>
      </c>
      <c r="F21" s="167">
        <v>78</v>
      </c>
      <c r="G21" s="167">
        <v>526</v>
      </c>
    </row>
    <row r="22" spans="2:7" s="105" customFormat="1" ht="12.95" customHeight="1" x14ac:dyDescent="0.2">
      <c r="C22" s="107"/>
      <c r="D22" s="162"/>
      <c r="E22" s="10"/>
      <c r="F22" s="167"/>
      <c r="G22" s="167"/>
    </row>
    <row r="23" spans="2:7" s="105" customFormat="1" ht="15" customHeight="1" x14ac:dyDescent="0.2">
      <c r="B23" s="58" t="s">
        <v>168</v>
      </c>
      <c r="C23" s="107"/>
      <c r="D23" s="162">
        <v>2016</v>
      </c>
      <c r="E23" s="167">
        <f>SUM(F23:G23)</f>
        <v>97</v>
      </c>
      <c r="F23" s="165">
        <v>20</v>
      </c>
      <c r="G23" s="167">
        <v>77</v>
      </c>
    </row>
    <row r="24" spans="2:7" s="105" customFormat="1" ht="15" customHeight="1" x14ac:dyDescent="0.2">
      <c r="C24" s="107"/>
      <c r="D24" s="162">
        <v>2017</v>
      </c>
      <c r="E24" s="167">
        <f t="shared" ref="E24:E25" si="3">SUM(F24:G24)</f>
        <v>73</v>
      </c>
      <c r="F24" s="167">
        <v>16</v>
      </c>
      <c r="G24" s="167">
        <v>57</v>
      </c>
    </row>
    <row r="25" spans="2:7" s="105" customFormat="1" ht="15" customHeight="1" x14ac:dyDescent="0.2">
      <c r="C25" s="58"/>
      <c r="D25" s="162">
        <v>2018</v>
      </c>
      <c r="E25" s="167">
        <f t="shared" si="3"/>
        <v>66</v>
      </c>
      <c r="F25" s="167">
        <v>10</v>
      </c>
      <c r="G25" s="167">
        <v>56</v>
      </c>
    </row>
    <row r="26" spans="2:7" s="105" customFormat="1" ht="12.95" customHeight="1" x14ac:dyDescent="0.2">
      <c r="C26" s="58"/>
      <c r="D26" s="162"/>
      <c r="E26" s="10"/>
      <c r="F26" s="167"/>
      <c r="G26" s="167"/>
    </row>
    <row r="27" spans="2:7" s="105" customFormat="1" ht="15" customHeight="1" x14ac:dyDescent="0.2">
      <c r="B27" s="58" t="s">
        <v>169</v>
      </c>
      <c r="C27" s="58"/>
      <c r="D27" s="162">
        <v>2016</v>
      </c>
      <c r="E27" s="167">
        <f>SUM(F27:G27)</f>
        <v>475</v>
      </c>
      <c r="F27" s="167">
        <v>45</v>
      </c>
      <c r="G27" s="167">
        <v>430</v>
      </c>
    </row>
    <row r="28" spans="2:7" s="105" customFormat="1" ht="15" customHeight="1" x14ac:dyDescent="0.2">
      <c r="C28" s="58"/>
      <c r="D28" s="162">
        <v>2017</v>
      </c>
      <c r="E28" s="167">
        <f t="shared" ref="E28:E29" si="4">SUM(F28:G28)</f>
        <v>633</v>
      </c>
      <c r="F28" s="167">
        <v>86</v>
      </c>
      <c r="G28" s="167">
        <v>547</v>
      </c>
    </row>
    <row r="29" spans="2:7" s="105" customFormat="1" ht="15" customHeight="1" x14ac:dyDescent="0.2">
      <c r="C29" s="58"/>
      <c r="D29" s="162">
        <v>2018</v>
      </c>
      <c r="E29" s="167">
        <f t="shared" si="4"/>
        <v>636</v>
      </c>
      <c r="F29" s="165">
        <v>49</v>
      </c>
      <c r="G29" s="167">
        <v>587</v>
      </c>
    </row>
    <row r="30" spans="2:7" s="105" customFormat="1" ht="12.95" customHeight="1" x14ac:dyDescent="0.2">
      <c r="C30" s="58"/>
      <c r="D30" s="162"/>
      <c r="E30" s="10"/>
      <c r="F30" s="165"/>
      <c r="G30" s="167"/>
    </row>
    <row r="31" spans="2:7" s="105" customFormat="1" ht="15" customHeight="1" x14ac:dyDescent="0.2">
      <c r="B31" s="58" t="s">
        <v>170</v>
      </c>
      <c r="C31" s="58"/>
      <c r="D31" s="162">
        <v>2016</v>
      </c>
      <c r="E31" s="167">
        <f>SUM(F31:G31)</f>
        <v>235</v>
      </c>
      <c r="F31" s="167">
        <v>27</v>
      </c>
      <c r="G31" s="167">
        <v>208</v>
      </c>
    </row>
    <row r="32" spans="2:7" s="105" customFormat="1" ht="15" customHeight="1" x14ac:dyDescent="0.2">
      <c r="C32" s="58"/>
      <c r="D32" s="162">
        <v>2017</v>
      </c>
      <c r="E32" s="167">
        <f t="shared" ref="E32:E33" si="5">SUM(F32:G32)</f>
        <v>359</v>
      </c>
      <c r="F32" s="167">
        <v>38</v>
      </c>
      <c r="G32" s="167">
        <v>321</v>
      </c>
    </row>
    <row r="33" spans="2:7" s="105" customFormat="1" ht="15" customHeight="1" x14ac:dyDescent="0.2">
      <c r="C33" s="58"/>
      <c r="D33" s="162">
        <v>2018</v>
      </c>
      <c r="E33" s="167">
        <f t="shared" si="5"/>
        <v>409</v>
      </c>
      <c r="F33" s="167">
        <v>31</v>
      </c>
      <c r="G33" s="167">
        <v>378</v>
      </c>
    </row>
    <row r="34" spans="2:7" s="105" customFormat="1" ht="12.95" customHeight="1" x14ac:dyDescent="0.2">
      <c r="C34" s="58"/>
      <c r="D34" s="162"/>
      <c r="E34" s="10"/>
      <c r="F34" s="167"/>
      <c r="G34" s="167"/>
    </row>
    <row r="35" spans="2:7" s="105" customFormat="1" ht="15" customHeight="1" x14ac:dyDescent="0.2">
      <c r="B35" s="58" t="s">
        <v>171</v>
      </c>
      <c r="C35" s="58"/>
      <c r="D35" s="162">
        <v>2016</v>
      </c>
      <c r="E35" s="167">
        <f>SUM(F35:G35)</f>
        <v>118</v>
      </c>
      <c r="F35" s="167">
        <v>16</v>
      </c>
      <c r="G35" s="167">
        <v>102</v>
      </c>
    </row>
    <row r="36" spans="2:7" s="105" customFormat="1" ht="15" customHeight="1" x14ac:dyDescent="0.2">
      <c r="C36" s="58"/>
      <c r="D36" s="162">
        <v>2017</v>
      </c>
      <c r="E36" s="167">
        <f t="shared" ref="E36:E37" si="6">SUM(F36:G36)</f>
        <v>102</v>
      </c>
      <c r="F36" s="167">
        <v>6</v>
      </c>
      <c r="G36" s="167">
        <v>96</v>
      </c>
    </row>
    <row r="37" spans="2:7" s="105" customFormat="1" ht="15" customHeight="1" x14ac:dyDescent="0.2">
      <c r="C37" s="58"/>
      <c r="D37" s="162">
        <v>2018</v>
      </c>
      <c r="E37" s="167">
        <f t="shared" si="6"/>
        <v>99</v>
      </c>
      <c r="F37" s="165">
        <v>8</v>
      </c>
      <c r="G37" s="165">
        <v>91</v>
      </c>
    </row>
    <row r="38" spans="2:7" s="105" customFormat="1" ht="12.95" customHeight="1" x14ac:dyDescent="0.2">
      <c r="C38" s="58"/>
      <c r="D38" s="162"/>
      <c r="E38" s="10"/>
      <c r="F38" s="165"/>
      <c r="G38" s="165"/>
    </row>
    <row r="39" spans="2:7" s="105" customFormat="1" ht="15" customHeight="1" x14ac:dyDescent="0.2">
      <c r="B39" s="58" t="s">
        <v>172</v>
      </c>
      <c r="C39" s="58"/>
      <c r="D39" s="162">
        <v>2016</v>
      </c>
      <c r="E39" s="167">
        <f>SUM(F39:G39)</f>
        <v>981</v>
      </c>
      <c r="F39" s="167">
        <v>85</v>
      </c>
      <c r="G39" s="167">
        <v>896</v>
      </c>
    </row>
    <row r="40" spans="2:7" s="105" customFormat="1" ht="15" customHeight="1" x14ac:dyDescent="0.2">
      <c r="C40" s="58"/>
      <c r="D40" s="162">
        <v>2017</v>
      </c>
      <c r="E40" s="167">
        <f t="shared" ref="E40:E41" si="7">SUM(F40:G40)</f>
        <v>1007</v>
      </c>
      <c r="F40" s="167">
        <v>97</v>
      </c>
      <c r="G40" s="167">
        <v>910</v>
      </c>
    </row>
    <row r="41" spans="2:7" s="105" customFormat="1" ht="15" customHeight="1" x14ac:dyDescent="0.2">
      <c r="C41" s="58"/>
      <c r="D41" s="162">
        <v>2018</v>
      </c>
      <c r="E41" s="167">
        <f t="shared" si="7"/>
        <v>900</v>
      </c>
      <c r="F41" s="167">
        <v>29</v>
      </c>
      <c r="G41" s="167">
        <v>871</v>
      </c>
    </row>
    <row r="42" spans="2:7" s="105" customFormat="1" ht="12.95" customHeight="1" x14ac:dyDescent="0.2">
      <c r="C42" s="58"/>
      <c r="D42" s="162"/>
      <c r="E42" s="10"/>
      <c r="F42" s="167"/>
      <c r="G42" s="167"/>
    </row>
    <row r="43" spans="2:7" s="105" customFormat="1" ht="15" customHeight="1" x14ac:dyDescent="0.2">
      <c r="B43" s="58" t="s">
        <v>173</v>
      </c>
      <c r="C43" s="58"/>
      <c r="D43" s="162">
        <v>2016</v>
      </c>
      <c r="E43" s="167">
        <f>SUM(F43:G43)</f>
        <v>52</v>
      </c>
      <c r="F43" s="165">
        <v>11</v>
      </c>
      <c r="G43" s="167">
        <v>41</v>
      </c>
    </row>
    <row r="44" spans="2:7" s="105" customFormat="1" ht="15" customHeight="1" x14ac:dyDescent="0.2">
      <c r="C44" s="58"/>
      <c r="D44" s="162">
        <v>2017</v>
      </c>
      <c r="E44" s="167">
        <f t="shared" ref="E44:E45" si="8">SUM(F44:G44)</f>
        <v>46</v>
      </c>
      <c r="F44" s="165">
        <v>11</v>
      </c>
      <c r="G44" s="167">
        <v>35</v>
      </c>
    </row>
    <row r="45" spans="2:7" s="105" customFormat="1" ht="15" customHeight="1" x14ac:dyDescent="0.2">
      <c r="C45" s="58"/>
      <c r="D45" s="162">
        <v>2018</v>
      </c>
      <c r="E45" s="167">
        <f t="shared" si="8"/>
        <v>51</v>
      </c>
      <c r="F45" s="167">
        <v>15</v>
      </c>
      <c r="G45" s="167">
        <v>36</v>
      </c>
    </row>
    <row r="46" spans="2:7" s="105" customFormat="1" ht="12.95" customHeight="1" x14ac:dyDescent="0.2">
      <c r="C46" s="58"/>
      <c r="D46" s="162"/>
      <c r="E46" s="10"/>
      <c r="F46" s="167"/>
      <c r="G46" s="167"/>
    </row>
    <row r="47" spans="2:7" s="105" customFormat="1" ht="15" customHeight="1" x14ac:dyDescent="0.2">
      <c r="B47" s="58" t="s">
        <v>174</v>
      </c>
      <c r="C47" s="58"/>
      <c r="D47" s="162">
        <v>2016</v>
      </c>
      <c r="E47" s="167">
        <f>SUM(F47:G47)</f>
        <v>125</v>
      </c>
      <c r="F47" s="167">
        <v>26</v>
      </c>
      <c r="G47" s="167">
        <v>99</v>
      </c>
    </row>
    <row r="48" spans="2:7" s="105" customFormat="1" ht="15" customHeight="1" x14ac:dyDescent="0.2">
      <c r="C48" s="58"/>
      <c r="D48" s="162">
        <v>2017</v>
      </c>
      <c r="E48" s="167">
        <f t="shared" ref="E48:E49" si="9">SUM(F48:G48)</f>
        <v>124</v>
      </c>
      <c r="F48" s="167">
        <v>21</v>
      </c>
      <c r="G48" s="167">
        <v>103</v>
      </c>
    </row>
    <row r="49" spans="1:8" s="105" customFormat="1" ht="15" customHeight="1" x14ac:dyDescent="0.2">
      <c r="C49" s="58"/>
      <c r="D49" s="162">
        <v>2018</v>
      </c>
      <c r="E49" s="167">
        <f t="shared" si="9"/>
        <v>124</v>
      </c>
      <c r="F49" s="167">
        <v>16</v>
      </c>
      <c r="G49" s="167">
        <v>108</v>
      </c>
    </row>
    <row r="50" spans="1:8" s="105" customFormat="1" ht="12.95" customHeight="1" x14ac:dyDescent="0.2">
      <c r="C50" s="58"/>
      <c r="D50" s="162"/>
      <c r="E50" s="10"/>
      <c r="F50" s="167"/>
      <c r="G50" s="167"/>
    </row>
    <row r="51" spans="1:8" s="105" customFormat="1" ht="15" customHeight="1" x14ac:dyDescent="0.2">
      <c r="B51" s="58" t="s">
        <v>175</v>
      </c>
      <c r="C51" s="58"/>
      <c r="D51" s="162">
        <v>2016</v>
      </c>
      <c r="E51" s="167">
        <f>SUM(F51:G51)</f>
        <v>216</v>
      </c>
      <c r="F51" s="167">
        <v>24</v>
      </c>
      <c r="G51" s="167">
        <v>192</v>
      </c>
    </row>
    <row r="52" spans="1:8" s="105" customFormat="1" ht="15" customHeight="1" x14ac:dyDescent="0.2">
      <c r="C52" s="58"/>
      <c r="D52" s="162">
        <v>2017</v>
      </c>
      <c r="E52" s="167">
        <f t="shared" ref="E52:E53" si="10">SUM(F52:G52)</f>
        <v>204</v>
      </c>
      <c r="F52" s="167">
        <v>20</v>
      </c>
      <c r="G52" s="167">
        <v>184</v>
      </c>
    </row>
    <row r="53" spans="1:8" s="105" customFormat="1" ht="15" customHeight="1" x14ac:dyDescent="0.2">
      <c r="A53" s="109"/>
      <c r="B53" s="109"/>
      <c r="C53" s="58"/>
      <c r="D53" s="162">
        <v>2018</v>
      </c>
      <c r="E53" s="167">
        <f t="shared" si="10"/>
        <v>266</v>
      </c>
      <c r="F53" s="167">
        <v>25</v>
      </c>
      <c r="G53" s="167">
        <v>241</v>
      </c>
      <c r="H53" s="109"/>
    </row>
    <row r="54" spans="1:8" s="105" customFormat="1" ht="12.95" customHeight="1" thickBot="1" x14ac:dyDescent="0.25">
      <c r="A54" s="108"/>
      <c r="B54" s="108"/>
      <c r="C54" s="60"/>
      <c r="D54" s="136"/>
      <c r="E54" s="12"/>
      <c r="F54" s="61"/>
      <c r="G54" s="61"/>
      <c r="H54" s="108"/>
    </row>
    <row r="55" spans="1:8" x14ac:dyDescent="0.25">
      <c r="D55" s="133"/>
      <c r="G55" s="8" t="s">
        <v>101</v>
      </c>
    </row>
    <row r="56" spans="1:8" x14ac:dyDescent="0.25">
      <c r="D56" s="133"/>
      <c r="G56" s="41" t="s">
        <v>1</v>
      </c>
    </row>
    <row r="57" spans="1:8" x14ac:dyDescent="0.25">
      <c r="D57" s="133"/>
    </row>
    <row r="58" spans="1:8" s="37" customFormat="1" x14ac:dyDescent="0.25">
      <c r="B58" s="38"/>
      <c r="D58" s="38"/>
      <c r="E58" s="43"/>
      <c r="F58" s="97"/>
      <c r="G58" s="97"/>
    </row>
    <row r="59" spans="1:8" s="37" customFormat="1" x14ac:dyDescent="0.25">
      <c r="B59" s="44"/>
      <c r="D59" s="38"/>
      <c r="E59" s="43"/>
      <c r="F59" s="97"/>
      <c r="G59" s="97"/>
    </row>
    <row r="60" spans="1:8" x14ac:dyDescent="0.25">
      <c r="D60" s="133"/>
    </row>
    <row r="61" spans="1:8" x14ac:dyDescent="0.25">
      <c r="D61" s="133"/>
    </row>
    <row r="62" spans="1:8" x14ac:dyDescent="0.25">
      <c r="D62" s="133"/>
    </row>
    <row r="63" spans="1:8" x14ac:dyDescent="0.25">
      <c r="D63" s="133"/>
    </row>
    <row r="64" spans="1:8" s="3" customFormat="1" ht="15" customHeight="1" x14ac:dyDescent="0.25">
      <c r="D64" s="133"/>
      <c r="E64" s="21"/>
      <c r="F64" s="22"/>
      <c r="G64" s="22"/>
      <c r="H64" s="2"/>
    </row>
    <row r="65" spans="4:4" x14ac:dyDescent="0.25">
      <c r="D65" s="133"/>
    </row>
    <row r="66" spans="4:4" x14ac:dyDescent="0.25">
      <c r="D66" s="133"/>
    </row>
    <row r="67" spans="4:4" x14ac:dyDescent="0.25">
      <c r="D67" s="133"/>
    </row>
    <row r="68" spans="4:4" x14ac:dyDescent="0.25">
      <c r="D68" s="133"/>
    </row>
    <row r="69" spans="4:4" x14ac:dyDescent="0.25">
      <c r="D69" s="133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topLeftCell="A4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1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71"/>
    </row>
    <row r="4" spans="1:8" s="30" customFormat="1" ht="12" customHeight="1" x14ac:dyDescent="0.25">
      <c r="B4" s="27"/>
      <c r="C4" s="27"/>
      <c r="D4" s="27"/>
      <c r="E4" s="28"/>
      <c r="F4" s="29"/>
      <c r="G4" s="71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8" s="53" customFormat="1" ht="33" customHeight="1" x14ac:dyDescent="0.2">
      <c r="A9" s="348"/>
      <c r="B9" s="464"/>
      <c r="C9" s="464"/>
      <c r="D9" s="458"/>
      <c r="E9" s="458"/>
      <c r="F9" s="460"/>
      <c r="G9" s="460"/>
      <c r="H9" s="344"/>
    </row>
    <row r="10" spans="1:8" s="53" customFormat="1" ht="8.1" customHeight="1" x14ac:dyDescent="0.2">
      <c r="A10" s="89"/>
      <c r="B10" s="90"/>
      <c r="C10" s="90"/>
      <c r="D10" s="91"/>
      <c r="E10" s="91"/>
      <c r="F10" s="92"/>
      <c r="G10" s="92"/>
      <c r="H10" s="93"/>
    </row>
    <row r="11" spans="1:8" s="6" customFormat="1" ht="15" customHeight="1" x14ac:dyDescent="0.25">
      <c r="A11" s="109"/>
      <c r="B11" s="112" t="s">
        <v>126</v>
      </c>
      <c r="C11" s="112"/>
      <c r="D11" s="65">
        <v>2016</v>
      </c>
      <c r="E11" s="166">
        <f>E15+E19+E23+E27+E31+E35+E39+E43+'1.3Swk (2)'!E13+'1.3Swk (2)'!E17+'1.3Swk (2)'!E21+'1.3Swk (2)'!E25+'1.3Swk (2)'!E29+'1.3Swk (2)'!E33+'1.3Swk (2)'!E37+'1.3Swk (2)'!E41+'1.3Swk (2)'!E45+'1.3Swk (2)'!E49+'1.3Swk (3)'!E13+'1.3Swk (3)'!E17+'1.3Swk (3)'!E21+'1.3Swk (3)'!E25+'1.3Swk (3)'!E29+'1.3Swk (3)'!E33+'1.3Swk (3)'!E37+'1.3Swk (3)'!E41+'1.3Swk (3)'!E45+'1.3Swk (3)'!E49</f>
        <v>6826</v>
      </c>
      <c r="F11" s="166">
        <v>953</v>
      </c>
      <c r="G11" s="166">
        <v>5873</v>
      </c>
      <c r="H11" s="24"/>
    </row>
    <row r="12" spans="1:8" s="6" customFormat="1" ht="15" customHeight="1" x14ac:dyDescent="0.25">
      <c r="A12" s="109"/>
      <c r="B12" s="113"/>
      <c r="C12" s="112"/>
      <c r="D12" s="65">
        <v>2017</v>
      </c>
      <c r="E12" s="166">
        <f>E16+E20+E24+E28+E32+E36+E40+E44+'1.3Swk (2)'!E14+'1.3Swk (2)'!E18+'1.3Swk (2)'!E22+'1.3Swk (2)'!E26+'1.3Swk (2)'!E30+'1.3Swk (2)'!E34+'1.3Swk (2)'!E38+'1.3Swk (2)'!E42+'1.3Swk (2)'!E46+'1.3Swk (2)'!E50+'1.3Swk (3)'!E14+'1.3Swk (3)'!E18+'1.3Swk (3)'!E22+'1.3Swk (3)'!E26+'1.3Swk (3)'!E30+'1.3Swk (3)'!E34+'1.3Swk (3)'!E38+'1.3Swk (3)'!E42+'1.3Swk (3)'!E46+'1.3Swk (3)'!E50</f>
        <v>6381</v>
      </c>
      <c r="F12" s="166">
        <v>876</v>
      </c>
      <c r="G12" s="166">
        <v>5505</v>
      </c>
      <c r="H12" s="24"/>
    </row>
    <row r="13" spans="1:8" s="6" customFormat="1" ht="15" customHeight="1" x14ac:dyDescent="0.25">
      <c r="A13" s="109"/>
      <c r="B13" s="113"/>
      <c r="C13" s="112"/>
      <c r="D13" s="65">
        <v>2018</v>
      </c>
      <c r="E13" s="166">
        <f>E17+E21+E25+E29+E33+E37+E41+E45+'1.3Swk (2)'!E15+'1.3Swk (2)'!E19+'1.3Swk (2)'!E23+'1.3Swk (2)'!E27+'1.3Swk (2)'!E31+'1.3Swk (2)'!E35+'1.3Swk (2)'!E39+'1.3Swk (2)'!E43+'1.3Swk (2)'!E47+'1.3Swk (2)'!E51+'1.3Swk (3)'!E15+'1.3Swk (3)'!E19+'1.3Swk (3)'!E23+'1.3Swk (3)'!E27+'1.3Swk (3)'!E31+'1.3Swk (3)'!E35+'1.3Swk (3)'!E39+'1.3Swk (3)'!E43+'1.3Swk (3)'!E47+'1.3Swk (3)'!E51</f>
        <v>5830</v>
      </c>
      <c r="F13" s="166">
        <v>811</v>
      </c>
      <c r="G13" s="166">
        <v>5019</v>
      </c>
      <c r="H13" s="24"/>
    </row>
    <row r="14" spans="1:8" s="6" customFormat="1" ht="8.1" customHeight="1" x14ac:dyDescent="0.25">
      <c r="A14" s="24"/>
      <c r="B14" s="110"/>
      <c r="C14" s="13"/>
      <c r="D14" s="65"/>
      <c r="E14" s="9"/>
      <c r="F14" s="9"/>
      <c r="G14" s="9"/>
      <c r="H14" s="24"/>
    </row>
    <row r="15" spans="1:8" s="6" customFormat="1" ht="15" customHeight="1" x14ac:dyDescent="0.25">
      <c r="A15" s="109"/>
      <c r="B15" s="111" t="s">
        <v>127</v>
      </c>
      <c r="C15" s="112"/>
      <c r="D15" s="162">
        <v>2016</v>
      </c>
      <c r="E15" s="167">
        <f>SUM(F15:G15)</f>
        <v>55</v>
      </c>
      <c r="F15" s="167">
        <v>14</v>
      </c>
      <c r="G15" s="167">
        <v>41</v>
      </c>
      <c r="H15" s="24"/>
    </row>
    <row r="16" spans="1:8" s="6" customFormat="1" ht="15" customHeight="1" x14ac:dyDescent="0.25">
      <c r="A16" s="109"/>
      <c r="B16" s="113"/>
      <c r="C16" s="111"/>
      <c r="D16" s="162">
        <v>2017</v>
      </c>
      <c r="E16" s="167">
        <f t="shared" ref="E16:E17" si="0">SUM(F16:G16)</f>
        <v>48</v>
      </c>
      <c r="F16" s="167">
        <v>9</v>
      </c>
      <c r="G16" s="167">
        <v>39</v>
      </c>
      <c r="H16" s="24"/>
    </row>
    <row r="17" spans="1:8" s="6" customFormat="1" ht="15" customHeight="1" x14ac:dyDescent="0.25">
      <c r="A17" s="109"/>
      <c r="B17" s="113"/>
      <c r="C17" s="111"/>
      <c r="D17" s="162">
        <v>2018</v>
      </c>
      <c r="E17" s="167">
        <f t="shared" si="0"/>
        <v>128</v>
      </c>
      <c r="F17" s="167">
        <v>86</v>
      </c>
      <c r="G17" s="167">
        <v>42</v>
      </c>
      <c r="H17" s="24"/>
    </row>
    <row r="18" spans="1:8" s="6" customFormat="1" ht="9.9499999999999993" customHeight="1" x14ac:dyDescent="0.25">
      <c r="A18" s="109"/>
      <c r="B18" s="113"/>
      <c r="C18" s="111"/>
      <c r="D18" s="162"/>
      <c r="E18" s="167"/>
      <c r="F18" s="167"/>
      <c r="G18" s="167"/>
      <c r="H18" s="24"/>
    </row>
    <row r="19" spans="1:8" s="6" customFormat="1" ht="15" customHeight="1" x14ac:dyDescent="0.25">
      <c r="A19" s="109"/>
      <c r="B19" s="111" t="s">
        <v>128</v>
      </c>
      <c r="C19" s="111"/>
      <c r="D19" s="162">
        <v>2016</v>
      </c>
      <c r="E19" s="167">
        <f>SUM(F19:G19)</f>
        <v>72</v>
      </c>
      <c r="F19" s="167">
        <v>17</v>
      </c>
      <c r="G19" s="167">
        <v>55</v>
      </c>
      <c r="H19" s="24"/>
    </row>
    <row r="20" spans="1:8" s="6" customFormat="1" ht="15" customHeight="1" x14ac:dyDescent="0.25">
      <c r="A20" s="109"/>
      <c r="B20" s="113"/>
      <c r="C20" s="111"/>
      <c r="D20" s="162">
        <v>2017</v>
      </c>
      <c r="E20" s="167">
        <f t="shared" ref="E20:E21" si="1">SUM(F20:G20)</f>
        <v>73</v>
      </c>
      <c r="F20" s="167">
        <v>6</v>
      </c>
      <c r="G20" s="167">
        <v>67</v>
      </c>
      <c r="H20" s="24"/>
    </row>
    <row r="21" spans="1:8" s="6" customFormat="1" ht="15" customHeight="1" x14ac:dyDescent="0.25">
      <c r="A21" s="109"/>
      <c r="B21" s="113"/>
      <c r="C21" s="111"/>
      <c r="D21" s="162">
        <v>2018</v>
      </c>
      <c r="E21" s="167">
        <f t="shared" si="1"/>
        <v>48</v>
      </c>
      <c r="F21" s="167">
        <v>10</v>
      </c>
      <c r="G21" s="167">
        <v>38</v>
      </c>
      <c r="H21" s="24"/>
    </row>
    <row r="22" spans="1:8" s="6" customFormat="1" ht="9.9499999999999993" customHeight="1" x14ac:dyDescent="0.25">
      <c r="A22" s="109"/>
      <c r="B22" s="113"/>
      <c r="C22" s="111"/>
      <c r="D22" s="162"/>
      <c r="E22" s="167"/>
      <c r="F22" s="167"/>
      <c r="G22" s="167"/>
      <c r="H22" s="24"/>
    </row>
    <row r="23" spans="1:8" s="6" customFormat="1" ht="15" customHeight="1" x14ac:dyDescent="0.25">
      <c r="A23" s="109"/>
      <c r="B23" s="111" t="s">
        <v>129</v>
      </c>
      <c r="C23" s="111"/>
      <c r="D23" s="162">
        <v>2016</v>
      </c>
      <c r="E23" s="167">
        <f>SUM(F23:G23)</f>
        <v>76</v>
      </c>
      <c r="F23" s="167">
        <v>7</v>
      </c>
      <c r="G23" s="167">
        <v>69</v>
      </c>
      <c r="H23" s="24"/>
    </row>
    <row r="24" spans="1:8" s="6" customFormat="1" ht="15" customHeight="1" x14ac:dyDescent="0.25">
      <c r="A24" s="109"/>
      <c r="B24" s="113"/>
      <c r="C24" s="111"/>
      <c r="D24" s="162">
        <v>2017</v>
      </c>
      <c r="E24" s="167">
        <f t="shared" ref="E24:E25" si="2">SUM(F24:G24)</f>
        <v>63</v>
      </c>
      <c r="F24" s="167">
        <v>18</v>
      </c>
      <c r="G24" s="167">
        <v>45</v>
      </c>
      <c r="H24" s="24"/>
    </row>
    <row r="25" spans="1:8" s="6" customFormat="1" ht="15" customHeight="1" x14ac:dyDescent="0.25">
      <c r="A25" s="109"/>
      <c r="B25" s="113"/>
      <c r="C25" s="111"/>
      <c r="D25" s="162">
        <v>2018</v>
      </c>
      <c r="E25" s="167">
        <f t="shared" si="2"/>
        <v>68</v>
      </c>
      <c r="F25" s="167">
        <v>6</v>
      </c>
      <c r="G25" s="167">
        <v>62</v>
      </c>
      <c r="H25" s="24"/>
    </row>
    <row r="26" spans="1:8" s="6" customFormat="1" ht="9.9499999999999993" customHeight="1" x14ac:dyDescent="0.25">
      <c r="A26" s="109"/>
      <c r="B26" s="113"/>
      <c r="C26" s="111"/>
      <c r="D26" s="162"/>
      <c r="E26" s="167"/>
      <c r="F26" s="167"/>
      <c r="G26" s="167"/>
      <c r="H26" s="24"/>
    </row>
    <row r="27" spans="1:8" s="6" customFormat="1" ht="15" customHeight="1" x14ac:dyDescent="0.25">
      <c r="A27" s="109"/>
      <c r="B27" s="111" t="s">
        <v>130</v>
      </c>
      <c r="C27" s="111"/>
      <c r="D27" s="162">
        <v>2016</v>
      </c>
      <c r="E27" s="167">
        <f>SUM(F27:G27)</f>
        <v>682</v>
      </c>
      <c r="F27" s="167">
        <v>72</v>
      </c>
      <c r="G27" s="167">
        <v>610</v>
      </c>
      <c r="H27" s="24"/>
    </row>
    <row r="28" spans="1:8" s="6" customFormat="1" ht="15" customHeight="1" x14ac:dyDescent="0.25">
      <c r="A28" s="109"/>
      <c r="B28" s="113"/>
      <c r="C28" s="111"/>
      <c r="D28" s="162">
        <v>2017</v>
      </c>
      <c r="E28" s="167">
        <f t="shared" ref="E28:E29" si="3">SUM(F28:G28)</f>
        <v>585</v>
      </c>
      <c r="F28" s="167">
        <v>63</v>
      </c>
      <c r="G28" s="167">
        <v>522</v>
      </c>
      <c r="H28" s="24"/>
    </row>
    <row r="29" spans="1:8" s="6" customFormat="1" ht="15" customHeight="1" x14ac:dyDescent="0.25">
      <c r="A29" s="109"/>
      <c r="B29" s="113"/>
      <c r="C29" s="111"/>
      <c r="D29" s="162">
        <v>2018</v>
      </c>
      <c r="E29" s="167">
        <f t="shared" si="3"/>
        <v>463</v>
      </c>
      <c r="F29" s="167">
        <v>34</v>
      </c>
      <c r="G29" s="167">
        <v>429</v>
      </c>
      <c r="H29" s="24"/>
    </row>
    <row r="30" spans="1:8" s="6" customFormat="1" ht="9.9499999999999993" customHeight="1" x14ac:dyDescent="0.25">
      <c r="A30" s="109"/>
      <c r="B30" s="113"/>
      <c r="C30" s="111"/>
      <c r="D30" s="162"/>
      <c r="E30" s="167"/>
      <c r="F30" s="167"/>
      <c r="G30" s="167"/>
      <c r="H30" s="24"/>
    </row>
    <row r="31" spans="1:8" s="6" customFormat="1" ht="15" customHeight="1" x14ac:dyDescent="0.25">
      <c r="A31" s="109"/>
      <c r="B31" s="111" t="s">
        <v>131</v>
      </c>
      <c r="C31" s="111"/>
      <c r="D31" s="162">
        <v>2016</v>
      </c>
      <c r="E31" s="167">
        <f>SUM(F31:G31)</f>
        <v>34</v>
      </c>
      <c r="F31" s="167">
        <v>3</v>
      </c>
      <c r="G31" s="167">
        <v>31</v>
      </c>
      <c r="H31" s="24"/>
    </row>
    <row r="32" spans="1:8" s="6" customFormat="1" ht="15" customHeight="1" x14ac:dyDescent="0.25">
      <c r="A32" s="109"/>
      <c r="B32" s="113"/>
      <c r="C32" s="111"/>
      <c r="D32" s="162">
        <v>2017</v>
      </c>
      <c r="E32" s="167">
        <f t="shared" ref="E32:E33" si="4">SUM(F32:G32)</f>
        <v>33</v>
      </c>
      <c r="F32" s="167">
        <v>7</v>
      </c>
      <c r="G32" s="167">
        <v>26</v>
      </c>
      <c r="H32" s="24"/>
    </row>
    <row r="33" spans="1:8" s="6" customFormat="1" ht="15" customHeight="1" x14ac:dyDescent="0.25">
      <c r="A33" s="109"/>
      <c r="B33" s="113"/>
      <c r="C33" s="111"/>
      <c r="D33" s="162">
        <v>2018</v>
      </c>
      <c r="E33" s="167">
        <f t="shared" si="4"/>
        <v>26</v>
      </c>
      <c r="F33" s="167">
        <v>10</v>
      </c>
      <c r="G33" s="167">
        <v>16</v>
      </c>
      <c r="H33" s="24"/>
    </row>
    <row r="34" spans="1:8" s="6" customFormat="1" ht="9.9499999999999993" customHeight="1" x14ac:dyDescent="0.25">
      <c r="A34" s="109"/>
      <c r="B34" s="113"/>
      <c r="C34" s="111"/>
      <c r="D34" s="162"/>
      <c r="E34" s="167"/>
      <c r="F34" s="167"/>
      <c r="G34" s="167"/>
      <c r="H34" s="24"/>
    </row>
    <row r="35" spans="1:8" s="6" customFormat="1" ht="15" customHeight="1" x14ac:dyDescent="0.25">
      <c r="A35" s="109"/>
      <c r="B35" s="111" t="s">
        <v>132</v>
      </c>
      <c r="C35" s="111"/>
      <c r="D35" s="162">
        <v>2016</v>
      </c>
      <c r="E35" s="167">
        <f>SUM(F35:G35)</f>
        <v>13</v>
      </c>
      <c r="F35" s="167">
        <v>3</v>
      </c>
      <c r="G35" s="167">
        <v>10</v>
      </c>
      <c r="H35" s="24"/>
    </row>
    <row r="36" spans="1:8" s="6" customFormat="1" ht="15" customHeight="1" x14ac:dyDescent="0.25">
      <c r="A36" s="109"/>
      <c r="B36" s="113"/>
      <c r="C36" s="111"/>
      <c r="D36" s="162">
        <v>2017</v>
      </c>
      <c r="E36" s="167">
        <f t="shared" ref="E36:E37" si="5">SUM(F36:G36)</f>
        <v>11</v>
      </c>
      <c r="F36" s="167">
        <v>5</v>
      </c>
      <c r="G36" s="167">
        <v>6</v>
      </c>
      <c r="H36" s="24"/>
    </row>
    <row r="37" spans="1:8" s="6" customFormat="1" ht="15" customHeight="1" x14ac:dyDescent="0.25">
      <c r="A37" s="109"/>
      <c r="B37" s="113"/>
      <c r="C37" s="111"/>
      <c r="D37" s="162">
        <v>2018</v>
      </c>
      <c r="E37" s="167">
        <f t="shared" si="5"/>
        <v>8</v>
      </c>
      <c r="F37" s="167">
        <v>3</v>
      </c>
      <c r="G37" s="167">
        <v>5</v>
      </c>
      <c r="H37" s="24"/>
    </row>
    <row r="38" spans="1:8" s="6" customFormat="1" ht="9.9499999999999993" customHeight="1" x14ac:dyDescent="0.25">
      <c r="A38" s="109"/>
      <c r="B38" s="113"/>
      <c r="C38" s="111"/>
      <c r="D38" s="162"/>
      <c r="E38" s="167"/>
      <c r="F38" s="167"/>
      <c r="G38" s="167"/>
      <c r="H38" s="24"/>
    </row>
    <row r="39" spans="1:8" s="6" customFormat="1" ht="15" customHeight="1" x14ac:dyDescent="0.25">
      <c r="A39" s="109"/>
      <c r="B39" s="111" t="s">
        <v>133</v>
      </c>
      <c r="C39" s="111"/>
      <c r="D39" s="162">
        <v>2016</v>
      </c>
      <c r="E39" s="167">
        <f>SUM(F39:G39)</f>
        <v>24</v>
      </c>
      <c r="F39" s="167">
        <v>2</v>
      </c>
      <c r="G39" s="167">
        <v>22</v>
      </c>
      <c r="H39" s="24"/>
    </row>
    <row r="40" spans="1:8" s="6" customFormat="1" ht="15" customHeight="1" x14ac:dyDescent="0.25">
      <c r="A40" s="109"/>
      <c r="B40" s="113"/>
      <c r="C40" s="111"/>
      <c r="D40" s="162">
        <v>2017</v>
      </c>
      <c r="E40" s="167">
        <f t="shared" ref="E40:E41" si="6">SUM(F40:G40)</f>
        <v>28</v>
      </c>
      <c r="F40" s="167">
        <v>5</v>
      </c>
      <c r="G40" s="167">
        <v>23</v>
      </c>
      <c r="H40" s="24"/>
    </row>
    <row r="41" spans="1:8" s="6" customFormat="1" ht="15" customHeight="1" x14ac:dyDescent="0.25">
      <c r="A41" s="109"/>
      <c r="B41" s="113"/>
      <c r="C41" s="111"/>
      <c r="D41" s="162">
        <v>2018</v>
      </c>
      <c r="E41" s="167">
        <f t="shared" si="6"/>
        <v>15</v>
      </c>
      <c r="F41" s="167">
        <v>8</v>
      </c>
      <c r="G41" s="167">
        <v>7</v>
      </c>
      <c r="H41" s="24"/>
    </row>
    <row r="42" spans="1:8" s="6" customFormat="1" ht="9.9499999999999993" customHeight="1" x14ac:dyDescent="0.25">
      <c r="A42" s="109"/>
      <c r="B42" s="113"/>
      <c r="C42" s="111"/>
      <c r="D42" s="162"/>
      <c r="E42" s="167"/>
      <c r="F42" s="167"/>
      <c r="G42" s="167"/>
      <c r="H42" s="24"/>
    </row>
    <row r="43" spans="1:8" s="6" customFormat="1" ht="15" customHeight="1" x14ac:dyDescent="0.25">
      <c r="A43" s="109"/>
      <c r="B43" s="111" t="s">
        <v>134</v>
      </c>
      <c r="C43" s="111"/>
      <c r="D43" s="162">
        <v>2016</v>
      </c>
      <c r="E43" s="167">
        <f>SUM(F43:G43)</f>
        <v>72</v>
      </c>
      <c r="F43" s="167">
        <v>16</v>
      </c>
      <c r="G43" s="167">
        <v>56</v>
      </c>
      <c r="H43" s="24"/>
    </row>
    <row r="44" spans="1:8" s="6" customFormat="1" ht="15" customHeight="1" x14ac:dyDescent="0.25">
      <c r="A44" s="109"/>
      <c r="B44" s="113"/>
      <c r="C44" s="111"/>
      <c r="D44" s="162">
        <v>2017</v>
      </c>
      <c r="E44" s="167">
        <f t="shared" ref="E44:E45" si="7">SUM(F44:G44)</f>
        <v>68</v>
      </c>
      <c r="F44" s="167">
        <v>11</v>
      </c>
      <c r="G44" s="167">
        <v>57</v>
      </c>
      <c r="H44" s="24"/>
    </row>
    <row r="45" spans="1:8" s="6" customFormat="1" ht="15" customHeight="1" x14ac:dyDescent="0.25">
      <c r="A45" s="109"/>
      <c r="B45" s="113"/>
      <c r="C45" s="111"/>
      <c r="D45" s="162">
        <v>2018</v>
      </c>
      <c r="E45" s="167">
        <f t="shared" si="7"/>
        <v>48</v>
      </c>
      <c r="F45" s="167">
        <v>8</v>
      </c>
      <c r="G45" s="167">
        <v>40</v>
      </c>
      <c r="H45" s="24"/>
    </row>
    <row r="46" spans="1:8" s="6" customFormat="1" ht="8.1" customHeight="1" thickBot="1" x14ac:dyDescent="0.3">
      <c r="A46" s="108"/>
      <c r="B46" s="108"/>
      <c r="C46" s="108"/>
      <c r="D46" s="108"/>
      <c r="E46" s="73"/>
      <c r="F46" s="61"/>
      <c r="G46" s="61"/>
      <c r="H46" s="103"/>
    </row>
    <row r="47" spans="1:8" s="96" customFormat="1" ht="15" customHeight="1" x14ac:dyDescent="0.2">
      <c r="B47" s="104"/>
      <c r="C47" s="104"/>
      <c r="D47" s="104"/>
      <c r="E47" s="8"/>
      <c r="F47" s="95"/>
      <c r="G47" s="8" t="s">
        <v>101</v>
      </c>
    </row>
    <row r="48" spans="1:8" s="18" customFormat="1" ht="15" customHeight="1" x14ac:dyDescent="0.2">
      <c r="B48" s="98"/>
      <c r="C48" s="98"/>
      <c r="D48" s="135"/>
      <c r="E48" s="8"/>
      <c r="F48" s="95"/>
      <c r="G48" s="41" t="s">
        <v>1</v>
      </c>
    </row>
    <row r="49" spans="2:8" s="37" customFormat="1" x14ac:dyDescent="0.25">
      <c r="B49" s="38"/>
      <c r="D49" s="38"/>
      <c r="E49" s="43"/>
      <c r="F49" s="97"/>
      <c r="G49" s="97"/>
    </row>
    <row r="50" spans="2:8" s="37" customFormat="1" x14ac:dyDescent="0.25">
      <c r="B50" s="44"/>
      <c r="D50" s="38"/>
      <c r="E50" s="43"/>
      <c r="F50" s="97"/>
      <c r="G50" s="97"/>
    </row>
    <row r="51" spans="2:8" ht="15" customHeight="1" x14ac:dyDescent="0.25">
      <c r="D51" s="133"/>
    </row>
    <row r="52" spans="2:8" x14ac:dyDescent="0.25">
      <c r="D52" s="133"/>
    </row>
    <row r="53" spans="2:8" x14ac:dyDescent="0.25">
      <c r="D53" s="133"/>
    </row>
    <row r="54" spans="2:8" x14ac:dyDescent="0.25">
      <c r="D54" s="133"/>
    </row>
    <row r="55" spans="2:8" x14ac:dyDescent="0.25">
      <c r="D55" s="133"/>
    </row>
    <row r="56" spans="2:8" x14ac:dyDescent="0.25">
      <c r="D56" s="133"/>
    </row>
    <row r="57" spans="2:8" x14ac:dyDescent="0.25">
      <c r="D57" s="133"/>
    </row>
    <row r="58" spans="2:8" x14ac:dyDescent="0.25">
      <c r="D58" s="133"/>
    </row>
    <row r="59" spans="2:8" x14ac:dyDescent="0.25">
      <c r="D59" s="133"/>
    </row>
    <row r="60" spans="2:8" x14ac:dyDescent="0.25">
      <c r="D60" s="133"/>
    </row>
    <row r="61" spans="2:8" x14ac:dyDescent="0.25">
      <c r="D61" s="133"/>
    </row>
    <row r="62" spans="2:8" s="3" customFormat="1" ht="15" customHeight="1" x14ac:dyDescent="0.25">
      <c r="D62" s="133"/>
      <c r="E62" s="21"/>
      <c r="F62" s="22"/>
      <c r="G62" s="22"/>
      <c r="H62" s="2"/>
    </row>
    <row r="63" spans="2:8" x14ac:dyDescent="0.25">
      <c r="D63" s="133"/>
    </row>
    <row r="64" spans="2:8" x14ac:dyDescent="0.25">
      <c r="D64" s="133"/>
    </row>
    <row r="65" spans="4:4" x14ac:dyDescent="0.25">
      <c r="D65" s="133"/>
    </row>
    <row r="66" spans="4:4" x14ac:dyDescent="0.25">
      <c r="D66" s="133"/>
    </row>
    <row r="67" spans="4:4" x14ac:dyDescent="0.25">
      <c r="D67" s="133"/>
    </row>
    <row r="68" spans="4:4" x14ac:dyDescent="0.25">
      <c r="D68" s="133"/>
    </row>
    <row r="69" spans="4:4" x14ac:dyDescent="0.25">
      <c r="D69" s="133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topLeftCell="A10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1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71"/>
    </row>
    <row r="4" spans="1:8" s="30" customFormat="1" ht="12" customHeight="1" x14ac:dyDescent="0.25">
      <c r="B4" s="27"/>
      <c r="C4" s="27"/>
      <c r="D4" s="27"/>
      <c r="E4" s="28"/>
      <c r="F4" s="29"/>
      <c r="G4" s="71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8" s="53" customFormat="1" ht="33" customHeight="1" x14ac:dyDescent="0.2">
      <c r="A9" s="348"/>
      <c r="B9" s="464"/>
      <c r="C9" s="464"/>
      <c r="D9" s="458"/>
      <c r="E9" s="458"/>
      <c r="F9" s="460"/>
      <c r="G9" s="460"/>
      <c r="H9" s="344"/>
    </row>
    <row r="10" spans="1:8" s="53" customFormat="1" ht="8.1" customHeight="1" x14ac:dyDescent="0.2">
      <c r="A10" s="89"/>
      <c r="B10" s="90"/>
      <c r="C10" s="90"/>
      <c r="D10" s="91"/>
      <c r="E10" s="91"/>
      <c r="F10" s="92"/>
      <c r="G10" s="92"/>
      <c r="H10" s="93"/>
    </row>
    <row r="11" spans="1:8" s="6" customFormat="1" ht="20.100000000000001" customHeight="1" x14ac:dyDescent="0.25">
      <c r="A11" s="24"/>
      <c r="B11" s="127" t="s">
        <v>207</v>
      </c>
      <c r="C11" s="13"/>
      <c r="D11" s="13"/>
      <c r="E11" s="9"/>
      <c r="F11" s="9"/>
      <c r="G11" s="9"/>
      <c r="H11" s="24"/>
    </row>
    <row r="12" spans="1:8" s="6" customFormat="1" ht="8.1" customHeight="1" x14ac:dyDescent="0.25">
      <c r="A12" s="24"/>
      <c r="B12" s="110"/>
      <c r="C12" s="13"/>
      <c r="D12" s="13"/>
      <c r="E12" s="9"/>
      <c r="F12" s="9"/>
      <c r="G12" s="9"/>
      <c r="H12" s="24"/>
    </row>
    <row r="13" spans="1:8" s="6" customFormat="1" ht="15" customHeight="1" x14ac:dyDescent="0.25">
      <c r="A13" s="109"/>
      <c r="B13" s="111" t="s">
        <v>135</v>
      </c>
      <c r="C13" s="111"/>
      <c r="D13" s="162">
        <v>2016</v>
      </c>
      <c r="E13" s="167">
        <f>SUM(F13:G13)</f>
        <v>303</v>
      </c>
      <c r="F13" s="167">
        <v>45</v>
      </c>
      <c r="G13" s="167">
        <v>258</v>
      </c>
      <c r="H13" s="24"/>
    </row>
    <row r="14" spans="1:8" s="6" customFormat="1" ht="15" customHeight="1" x14ac:dyDescent="0.25">
      <c r="A14" s="109"/>
      <c r="B14" s="113"/>
      <c r="C14" s="111"/>
      <c r="D14" s="162">
        <v>2017</v>
      </c>
      <c r="E14" s="167">
        <f t="shared" ref="E14:E15" si="0">SUM(F14:G14)</f>
        <v>330</v>
      </c>
      <c r="F14" s="167">
        <v>45</v>
      </c>
      <c r="G14" s="167">
        <v>285</v>
      </c>
      <c r="H14" s="24"/>
    </row>
    <row r="15" spans="1:8" s="6" customFormat="1" ht="15" customHeight="1" x14ac:dyDescent="0.25">
      <c r="A15" s="109"/>
      <c r="B15" s="113"/>
      <c r="C15" s="111"/>
      <c r="D15" s="162">
        <v>2018</v>
      </c>
      <c r="E15" s="167">
        <f t="shared" si="0"/>
        <v>347</v>
      </c>
      <c r="F15" s="167">
        <v>31</v>
      </c>
      <c r="G15" s="167">
        <v>316</v>
      </c>
      <c r="H15" s="24"/>
    </row>
    <row r="16" spans="1:8" s="6" customFormat="1" ht="9.9499999999999993" customHeight="1" x14ac:dyDescent="0.25">
      <c r="A16" s="109"/>
      <c r="B16" s="113"/>
      <c r="C16" s="111"/>
      <c r="D16" s="162"/>
      <c r="E16" s="167"/>
      <c r="F16" s="167"/>
      <c r="G16" s="167"/>
      <c r="H16" s="24"/>
    </row>
    <row r="17" spans="1:8" s="6" customFormat="1" ht="15" customHeight="1" x14ac:dyDescent="0.25">
      <c r="A17" s="109"/>
      <c r="B17" s="111" t="s">
        <v>136</v>
      </c>
      <c r="C17" s="111"/>
      <c r="D17" s="162">
        <v>2016</v>
      </c>
      <c r="E17" s="167">
        <f>SUM(F17:G17)</f>
        <v>1595</v>
      </c>
      <c r="F17" s="167">
        <v>203</v>
      </c>
      <c r="G17" s="167">
        <v>1392</v>
      </c>
      <c r="H17" s="24"/>
    </row>
    <row r="18" spans="1:8" s="6" customFormat="1" ht="15" customHeight="1" x14ac:dyDescent="0.25">
      <c r="A18" s="109"/>
      <c r="B18" s="113"/>
      <c r="C18" s="111"/>
      <c r="D18" s="162">
        <v>2017</v>
      </c>
      <c r="E18" s="167">
        <f t="shared" ref="E18:E19" si="1">SUM(F18:G18)</f>
        <v>1554</v>
      </c>
      <c r="F18" s="167">
        <v>180</v>
      </c>
      <c r="G18" s="167">
        <v>1374</v>
      </c>
      <c r="H18" s="24"/>
    </row>
    <row r="19" spans="1:8" s="6" customFormat="1" ht="15" customHeight="1" x14ac:dyDescent="0.25">
      <c r="A19" s="109"/>
      <c r="B19" s="113"/>
      <c r="C19" s="111"/>
      <c r="D19" s="162">
        <v>2018</v>
      </c>
      <c r="E19" s="167">
        <f t="shared" si="1"/>
        <v>1262</v>
      </c>
      <c r="F19" s="167">
        <v>101</v>
      </c>
      <c r="G19" s="167">
        <v>1161</v>
      </c>
      <c r="H19" s="24"/>
    </row>
    <row r="20" spans="1:8" s="6" customFormat="1" ht="9.9499999999999993" customHeight="1" x14ac:dyDescent="0.25">
      <c r="A20" s="109"/>
      <c r="B20" s="113"/>
      <c r="C20" s="111"/>
      <c r="D20" s="162"/>
      <c r="E20" s="167"/>
      <c r="F20" s="167"/>
      <c r="G20" s="167"/>
      <c r="H20" s="24"/>
    </row>
    <row r="21" spans="1:8" s="6" customFormat="1" ht="15" customHeight="1" x14ac:dyDescent="0.25">
      <c r="A21" s="109"/>
      <c r="B21" s="111" t="s">
        <v>137</v>
      </c>
      <c r="C21" s="111"/>
      <c r="D21" s="162">
        <v>2016</v>
      </c>
      <c r="E21" s="167">
        <f>SUM(F21:G21)</f>
        <v>54</v>
      </c>
      <c r="F21" s="167">
        <v>8</v>
      </c>
      <c r="G21" s="167">
        <v>46</v>
      </c>
      <c r="H21" s="24"/>
    </row>
    <row r="22" spans="1:8" s="6" customFormat="1" ht="15" customHeight="1" x14ac:dyDescent="0.25">
      <c r="A22" s="109"/>
      <c r="B22" s="113"/>
      <c r="C22" s="111"/>
      <c r="D22" s="162">
        <v>2017</v>
      </c>
      <c r="E22" s="167">
        <f t="shared" ref="E22:E23" si="2">SUM(F22:G22)</f>
        <v>41</v>
      </c>
      <c r="F22" s="167">
        <v>4</v>
      </c>
      <c r="G22" s="167">
        <v>37</v>
      </c>
      <c r="H22" s="24"/>
    </row>
    <row r="23" spans="1:8" s="6" customFormat="1" ht="15" customHeight="1" x14ac:dyDescent="0.25">
      <c r="A23" s="109"/>
      <c r="B23" s="113"/>
      <c r="C23" s="111"/>
      <c r="D23" s="162">
        <v>2018</v>
      </c>
      <c r="E23" s="167">
        <f t="shared" si="2"/>
        <v>67</v>
      </c>
      <c r="F23" s="167">
        <v>26</v>
      </c>
      <c r="G23" s="167">
        <v>41</v>
      </c>
      <c r="H23" s="24"/>
    </row>
    <row r="24" spans="1:8" s="6" customFormat="1" ht="9.9499999999999993" customHeight="1" x14ac:dyDescent="0.25">
      <c r="A24" s="109"/>
      <c r="B24" s="113"/>
      <c r="C24" s="111"/>
      <c r="D24" s="162"/>
      <c r="E24" s="167"/>
      <c r="F24" s="167"/>
      <c r="G24" s="167"/>
      <c r="H24" s="24"/>
    </row>
    <row r="25" spans="1:8" s="6" customFormat="1" ht="15" customHeight="1" x14ac:dyDescent="0.25">
      <c r="A25" s="109"/>
      <c r="B25" s="111" t="s">
        <v>138</v>
      </c>
      <c r="C25" s="111"/>
      <c r="D25" s="162">
        <v>2016</v>
      </c>
      <c r="E25" s="167">
        <f>SUM(F25:G25)</f>
        <v>72</v>
      </c>
      <c r="F25" s="167">
        <v>18</v>
      </c>
      <c r="G25" s="167">
        <v>54</v>
      </c>
      <c r="H25" s="24"/>
    </row>
    <row r="26" spans="1:8" s="6" customFormat="1" ht="15" customHeight="1" x14ac:dyDescent="0.25">
      <c r="A26" s="109"/>
      <c r="B26" s="113"/>
      <c r="C26" s="111"/>
      <c r="D26" s="162">
        <v>2017</v>
      </c>
      <c r="E26" s="167">
        <f t="shared" ref="E26:E27" si="3">SUM(F26:G26)</f>
        <v>73</v>
      </c>
      <c r="F26" s="167">
        <v>15</v>
      </c>
      <c r="G26" s="167">
        <v>58</v>
      </c>
      <c r="H26" s="24"/>
    </row>
    <row r="27" spans="1:8" s="6" customFormat="1" ht="15" customHeight="1" x14ac:dyDescent="0.25">
      <c r="A27" s="109"/>
      <c r="B27" s="113"/>
      <c r="C27" s="111"/>
      <c r="D27" s="162">
        <v>2018</v>
      </c>
      <c r="E27" s="167">
        <f t="shared" si="3"/>
        <v>94</v>
      </c>
      <c r="F27" s="167">
        <v>48</v>
      </c>
      <c r="G27" s="167">
        <v>46</v>
      </c>
      <c r="H27" s="24"/>
    </row>
    <row r="28" spans="1:8" s="6" customFormat="1" ht="9.9499999999999993" customHeight="1" x14ac:dyDescent="0.25">
      <c r="A28" s="109"/>
      <c r="B28" s="113"/>
      <c r="C28" s="111"/>
      <c r="D28" s="162"/>
      <c r="E28" s="167"/>
      <c r="F28" s="167"/>
      <c r="G28" s="167"/>
      <c r="H28" s="24"/>
    </row>
    <row r="29" spans="1:8" s="6" customFormat="1" ht="15" customHeight="1" x14ac:dyDescent="0.25">
      <c r="A29" s="109"/>
      <c r="B29" s="111" t="s">
        <v>139</v>
      </c>
      <c r="C29" s="111"/>
      <c r="D29" s="162">
        <v>2016</v>
      </c>
      <c r="E29" s="167">
        <f>SUM(F29:G29)</f>
        <v>15</v>
      </c>
      <c r="F29" s="167">
        <v>6</v>
      </c>
      <c r="G29" s="167">
        <v>9</v>
      </c>
      <c r="H29" s="24"/>
    </row>
    <row r="30" spans="1:8" s="6" customFormat="1" ht="15" customHeight="1" x14ac:dyDescent="0.25">
      <c r="A30" s="109"/>
      <c r="B30" s="113"/>
      <c r="C30" s="111"/>
      <c r="D30" s="162">
        <v>2017</v>
      </c>
      <c r="E30" s="167">
        <f t="shared" ref="E30:E31" si="4">SUM(F30:G30)</f>
        <v>32</v>
      </c>
      <c r="F30" s="167">
        <v>2</v>
      </c>
      <c r="G30" s="167">
        <v>30</v>
      </c>
      <c r="H30" s="24"/>
    </row>
    <row r="31" spans="1:8" s="6" customFormat="1" ht="15" customHeight="1" x14ac:dyDescent="0.25">
      <c r="A31" s="109"/>
      <c r="B31" s="113"/>
      <c r="C31" s="111"/>
      <c r="D31" s="162">
        <v>2018</v>
      </c>
      <c r="E31" s="167">
        <f t="shared" si="4"/>
        <v>34</v>
      </c>
      <c r="F31" s="167">
        <v>5</v>
      </c>
      <c r="G31" s="167">
        <v>29</v>
      </c>
      <c r="H31" s="24"/>
    </row>
    <row r="32" spans="1:8" s="6" customFormat="1" ht="9.9499999999999993" customHeight="1" x14ac:dyDescent="0.25">
      <c r="A32" s="109"/>
      <c r="B32" s="113"/>
      <c r="C32" s="111"/>
      <c r="D32" s="162"/>
      <c r="E32" s="167"/>
      <c r="F32" s="167"/>
      <c r="G32" s="167"/>
      <c r="H32" s="24"/>
    </row>
    <row r="33" spans="1:8" s="6" customFormat="1" ht="15" customHeight="1" x14ac:dyDescent="0.25">
      <c r="A33" s="109"/>
      <c r="B33" s="111" t="s">
        <v>140</v>
      </c>
      <c r="C33" s="111"/>
      <c r="D33" s="162">
        <v>2016</v>
      </c>
      <c r="E33" s="167">
        <f>SUM(F33:G33)</f>
        <v>93</v>
      </c>
      <c r="F33" s="167">
        <v>15</v>
      </c>
      <c r="G33" s="167">
        <v>78</v>
      </c>
      <c r="H33" s="24"/>
    </row>
    <row r="34" spans="1:8" s="6" customFormat="1" ht="15" customHeight="1" x14ac:dyDescent="0.25">
      <c r="A34" s="109"/>
      <c r="B34" s="113"/>
      <c r="C34" s="111"/>
      <c r="D34" s="162">
        <v>2017</v>
      </c>
      <c r="E34" s="167">
        <f t="shared" ref="E34:E35" si="5">SUM(F34:G34)</f>
        <v>64</v>
      </c>
      <c r="F34" s="167">
        <v>7</v>
      </c>
      <c r="G34" s="167">
        <v>57</v>
      </c>
      <c r="H34" s="24"/>
    </row>
    <row r="35" spans="1:8" s="6" customFormat="1" ht="15" customHeight="1" x14ac:dyDescent="0.25">
      <c r="A35" s="109"/>
      <c r="B35" s="113"/>
      <c r="C35" s="111"/>
      <c r="D35" s="162">
        <v>2018</v>
      </c>
      <c r="E35" s="167">
        <f t="shared" si="5"/>
        <v>48</v>
      </c>
      <c r="F35" s="167">
        <v>9</v>
      </c>
      <c r="G35" s="167">
        <v>39</v>
      </c>
      <c r="H35" s="24"/>
    </row>
    <row r="36" spans="1:8" s="6" customFormat="1" ht="9.9499999999999993" customHeight="1" x14ac:dyDescent="0.25">
      <c r="A36" s="109"/>
      <c r="B36" s="113"/>
      <c r="C36" s="111"/>
      <c r="D36" s="162"/>
      <c r="E36" s="167"/>
      <c r="F36" s="167"/>
      <c r="G36" s="167"/>
      <c r="H36" s="24"/>
    </row>
    <row r="37" spans="1:8" s="6" customFormat="1" ht="15" customHeight="1" x14ac:dyDescent="0.25">
      <c r="A37" s="109"/>
      <c r="B37" s="111" t="s">
        <v>141</v>
      </c>
      <c r="C37" s="111"/>
      <c r="D37" s="162">
        <v>2016</v>
      </c>
      <c r="E37" s="167">
        <f>SUM(F37:G37)</f>
        <v>76</v>
      </c>
      <c r="F37" s="167">
        <v>26</v>
      </c>
      <c r="G37" s="167">
        <v>50</v>
      </c>
      <c r="H37" s="24"/>
    </row>
    <row r="38" spans="1:8" s="6" customFormat="1" ht="15" customHeight="1" x14ac:dyDescent="0.25">
      <c r="A38" s="109"/>
      <c r="B38" s="113"/>
      <c r="C38" s="111"/>
      <c r="D38" s="162">
        <v>2017</v>
      </c>
      <c r="E38" s="167">
        <f t="shared" ref="E38:E39" si="6">SUM(F38:G38)</f>
        <v>60</v>
      </c>
      <c r="F38" s="167">
        <v>21</v>
      </c>
      <c r="G38" s="167">
        <v>39</v>
      </c>
      <c r="H38" s="24"/>
    </row>
    <row r="39" spans="1:8" s="6" customFormat="1" ht="15" customHeight="1" x14ac:dyDescent="0.25">
      <c r="A39" s="109"/>
      <c r="B39" s="113"/>
      <c r="C39" s="111"/>
      <c r="D39" s="162">
        <v>2018</v>
      </c>
      <c r="E39" s="167">
        <f t="shared" si="6"/>
        <v>122</v>
      </c>
      <c r="F39" s="167">
        <v>89</v>
      </c>
      <c r="G39" s="167">
        <v>33</v>
      </c>
      <c r="H39" s="24"/>
    </row>
    <row r="40" spans="1:8" s="6" customFormat="1" ht="9.9499999999999993" customHeight="1" x14ac:dyDescent="0.25">
      <c r="A40" s="109"/>
      <c r="B40" s="113"/>
      <c r="C40" s="111"/>
      <c r="D40" s="162"/>
      <c r="E40" s="167"/>
      <c r="F40" s="167"/>
      <c r="G40" s="167"/>
      <c r="H40" s="24"/>
    </row>
    <row r="41" spans="1:8" s="6" customFormat="1" ht="15" customHeight="1" x14ac:dyDescent="0.25">
      <c r="A41" s="109"/>
      <c r="B41" s="111" t="s">
        <v>142</v>
      </c>
      <c r="C41" s="111"/>
      <c r="D41" s="162">
        <v>2016</v>
      </c>
      <c r="E41" s="167">
        <f>SUM(F41:G41)</f>
        <v>27</v>
      </c>
      <c r="F41" s="167">
        <v>8</v>
      </c>
      <c r="G41" s="167">
        <v>19</v>
      </c>
      <c r="H41" s="24"/>
    </row>
    <row r="42" spans="1:8" s="6" customFormat="1" ht="15" customHeight="1" x14ac:dyDescent="0.25">
      <c r="A42" s="109"/>
      <c r="B42" s="113"/>
      <c r="C42" s="111"/>
      <c r="D42" s="162">
        <v>2017</v>
      </c>
      <c r="E42" s="167">
        <f t="shared" ref="E42:E43" si="7">SUM(F42:G42)</f>
        <v>25</v>
      </c>
      <c r="F42" s="167">
        <v>3</v>
      </c>
      <c r="G42" s="167">
        <v>22</v>
      </c>
      <c r="H42" s="24"/>
    </row>
    <row r="43" spans="1:8" s="6" customFormat="1" ht="15" customHeight="1" x14ac:dyDescent="0.25">
      <c r="A43" s="109"/>
      <c r="B43" s="113"/>
      <c r="C43" s="111"/>
      <c r="D43" s="162">
        <v>2018</v>
      </c>
      <c r="E43" s="167">
        <f t="shared" si="7"/>
        <v>34</v>
      </c>
      <c r="F43" s="167">
        <v>10</v>
      </c>
      <c r="G43" s="167">
        <v>24</v>
      </c>
      <c r="H43" s="24"/>
    </row>
    <row r="44" spans="1:8" s="6" customFormat="1" ht="9.9499999999999993" customHeight="1" x14ac:dyDescent="0.25">
      <c r="A44" s="109"/>
      <c r="B44" s="113"/>
      <c r="C44" s="111"/>
      <c r="D44" s="162"/>
      <c r="E44" s="167"/>
      <c r="F44" s="167"/>
      <c r="G44" s="167"/>
      <c r="H44" s="24"/>
    </row>
    <row r="45" spans="1:8" s="6" customFormat="1" ht="15" customHeight="1" x14ac:dyDescent="0.25">
      <c r="A45" s="109"/>
      <c r="B45" s="111" t="s">
        <v>143</v>
      </c>
      <c r="C45" s="111"/>
      <c r="D45" s="162">
        <v>2016</v>
      </c>
      <c r="E45" s="167">
        <f>SUM(F45:G45)</f>
        <v>35</v>
      </c>
      <c r="F45" s="167">
        <v>7</v>
      </c>
      <c r="G45" s="167">
        <v>28</v>
      </c>
      <c r="H45" s="24"/>
    </row>
    <row r="46" spans="1:8" s="6" customFormat="1" ht="15" customHeight="1" x14ac:dyDescent="0.25">
      <c r="A46" s="109"/>
      <c r="B46" s="113"/>
      <c r="C46" s="111"/>
      <c r="D46" s="162">
        <v>2017</v>
      </c>
      <c r="E46" s="167">
        <f t="shared" ref="E46:E47" si="8">SUM(F46:G46)</f>
        <v>37</v>
      </c>
      <c r="F46" s="167">
        <v>7</v>
      </c>
      <c r="G46" s="167">
        <v>30</v>
      </c>
      <c r="H46" s="24"/>
    </row>
    <row r="47" spans="1:8" s="6" customFormat="1" ht="15" customHeight="1" x14ac:dyDescent="0.25">
      <c r="A47" s="109"/>
      <c r="B47" s="113"/>
      <c r="C47" s="111"/>
      <c r="D47" s="162">
        <v>2018</v>
      </c>
      <c r="E47" s="167">
        <f t="shared" si="8"/>
        <v>67</v>
      </c>
      <c r="F47" s="167">
        <v>30</v>
      </c>
      <c r="G47" s="167">
        <v>37</v>
      </c>
      <c r="H47" s="24"/>
    </row>
    <row r="48" spans="1:8" s="6" customFormat="1" ht="9.9499999999999993" customHeight="1" x14ac:dyDescent="0.25">
      <c r="A48" s="109"/>
      <c r="B48" s="113"/>
      <c r="C48" s="111"/>
      <c r="D48" s="162"/>
      <c r="E48" s="167"/>
      <c r="F48" s="167"/>
      <c r="G48" s="167"/>
      <c r="H48" s="24"/>
    </row>
    <row r="49" spans="1:8" s="6" customFormat="1" ht="15" customHeight="1" x14ac:dyDescent="0.25">
      <c r="A49" s="109"/>
      <c r="B49" s="111" t="s">
        <v>144</v>
      </c>
      <c r="C49" s="111"/>
      <c r="D49" s="162">
        <v>2016</v>
      </c>
      <c r="E49" s="167">
        <f>SUM(F49:G49)</f>
        <v>1159</v>
      </c>
      <c r="F49" s="167">
        <v>187</v>
      </c>
      <c r="G49" s="167">
        <v>972</v>
      </c>
      <c r="H49" s="24"/>
    </row>
    <row r="50" spans="1:8" s="6" customFormat="1" ht="15" customHeight="1" x14ac:dyDescent="0.25">
      <c r="A50" s="109"/>
      <c r="B50" s="113"/>
      <c r="C50" s="111"/>
      <c r="D50" s="162">
        <v>2017</v>
      </c>
      <c r="E50" s="167">
        <f t="shared" ref="E50:E51" si="9">SUM(F50:G50)</f>
        <v>978</v>
      </c>
      <c r="F50" s="167">
        <v>163</v>
      </c>
      <c r="G50" s="167">
        <v>815</v>
      </c>
      <c r="H50" s="24"/>
    </row>
    <row r="51" spans="1:8" s="6" customFormat="1" ht="15" customHeight="1" x14ac:dyDescent="0.25">
      <c r="A51" s="109"/>
      <c r="B51" s="113"/>
      <c r="C51" s="111"/>
      <c r="D51" s="162">
        <v>2018</v>
      </c>
      <c r="E51" s="167">
        <f t="shared" si="9"/>
        <v>895</v>
      </c>
      <c r="F51" s="167">
        <v>74</v>
      </c>
      <c r="G51" s="167">
        <v>821</v>
      </c>
      <c r="H51" s="24"/>
    </row>
    <row r="52" spans="1:8" s="6" customFormat="1" ht="8.1" customHeight="1" thickBot="1" x14ac:dyDescent="0.3">
      <c r="A52" s="108"/>
      <c r="B52" s="108"/>
      <c r="C52" s="108"/>
      <c r="D52" s="108"/>
      <c r="E52" s="73"/>
      <c r="F52" s="61"/>
      <c r="G52" s="61"/>
      <c r="H52" s="103"/>
    </row>
    <row r="53" spans="1:8" s="96" customFormat="1" ht="15" customHeight="1" x14ac:dyDescent="0.2">
      <c r="B53" s="104"/>
      <c r="C53" s="104"/>
      <c r="D53" s="104"/>
      <c r="E53" s="8"/>
      <c r="F53" s="95"/>
      <c r="G53" s="8" t="s">
        <v>101</v>
      </c>
    </row>
    <row r="54" spans="1:8" s="18" customFormat="1" ht="15" customHeight="1" x14ac:dyDescent="0.2">
      <c r="B54" s="98"/>
      <c r="C54" s="98"/>
      <c r="D54" s="135"/>
      <c r="E54" s="8"/>
      <c r="F54" s="95"/>
      <c r="G54" s="41" t="s">
        <v>1</v>
      </c>
    </row>
    <row r="55" spans="1:8" ht="15" customHeight="1" x14ac:dyDescent="0.25">
      <c r="D55" s="133"/>
    </row>
    <row r="56" spans="1:8" x14ac:dyDescent="0.25">
      <c r="D56" s="133"/>
    </row>
    <row r="57" spans="1:8" x14ac:dyDescent="0.25">
      <c r="D57" s="133"/>
    </row>
    <row r="58" spans="1:8" x14ac:dyDescent="0.25">
      <c r="D58" s="133"/>
    </row>
    <row r="59" spans="1:8" x14ac:dyDescent="0.25">
      <c r="D59" s="133"/>
    </row>
    <row r="60" spans="1:8" x14ac:dyDescent="0.25">
      <c r="D60" s="133"/>
    </row>
    <row r="61" spans="1:8" x14ac:dyDescent="0.25">
      <c r="D61" s="133"/>
    </row>
    <row r="62" spans="1:8" x14ac:dyDescent="0.25">
      <c r="D62" s="133"/>
    </row>
    <row r="63" spans="1:8" x14ac:dyDescent="0.25">
      <c r="D63" s="133"/>
    </row>
    <row r="64" spans="1:8" x14ac:dyDescent="0.25">
      <c r="D64" s="133"/>
    </row>
    <row r="65" spans="4:8" x14ac:dyDescent="0.25">
      <c r="D65" s="133"/>
    </row>
    <row r="66" spans="4:8" s="3" customFormat="1" ht="15" customHeight="1" x14ac:dyDescent="0.25">
      <c r="D66" s="133"/>
      <c r="E66" s="21"/>
      <c r="F66" s="22"/>
      <c r="G66" s="22"/>
      <c r="H66" s="2"/>
    </row>
    <row r="67" spans="4:8" x14ac:dyDescent="0.25">
      <c r="D67" s="133"/>
    </row>
    <row r="68" spans="4:8" x14ac:dyDescent="0.25">
      <c r="D68" s="133"/>
    </row>
    <row r="69" spans="4:8" x14ac:dyDescent="0.25">
      <c r="D69" s="133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topLeftCell="A8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1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71"/>
    </row>
    <row r="4" spans="1:8" s="30" customFormat="1" ht="12" customHeight="1" x14ac:dyDescent="0.25">
      <c r="B4" s="27"/>
      <c r="C4" s="27"/>
      <c r="D4" s="27"/>
      <c r="E4" s="28"/>
      <c r="F4" s="29"/>
      <c r="G4" s="71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8" s="53" customFormat="1" ht="33" customHeight="1" x14ac:dyDescent="0.2">
      <c r="A9" s="348"/>
      <c r="B9" s="464"/>
      <c r="C9" s="464"/>
      <c r="D9" s="458"/>
      <c r="E9" s="458"/>
      <c r="F9" s="460"/>
      <c r="G9" s="460"/>
      <c r="H9" s="344"/>
    </row>
    <row r="10" spans="1:8" s="53" customFormat="1" ht="8.1" customHeight="1" x14ac:dyDescent="0.2">
      <c r="A10" s="89"/>
      <c r="B10" s="90"/>
      <c r="C10" s="90"/>
      <c r="D10" s="91"/>
      <c r="E10" s="91"/>
      <c r="F10" s="92"/>
      <c r="G10" s="92"/>
      <c r="H10" s="93"/>
    </row>
    <row r="11" spans="1:8" s="6" customFormat="1" ht="20.100000000000001" customHeight="1" x14ac:dyDescent="0.25">
      <c r="A11" s="24"/>
      <c r="B11" s="127" t="s">
        <v>207</v>
      </c>
      <c r="C11" s="13"/>
      <c r="D11" s="13"/>
      <c r="E11" s="9"/>
      <c r="F11" s="9"/>
      <c r="G11" s="9"/>
      <c r="H11" s="24"/>
    </row>
    <row r="12" spans="1:8" s="6" customFormat="1" ht="8.1" customHeight="1" x14ac:dyDescent="0.25">
      <c r="A12" s="24"/>
      <c r="B12" s="110"/>
      <c r="C12" s="13"/>
      <c r="D12" s="13"/>
      <c r="E12" s="9"/>
      <c r="F12" s="9"/>
      <c r="G12" s="9"/>
      <c r="H12" s="24"/>
    </row>
    <row r="13" spans="1:8" s="6" customFormat="1" ht="15" customHeight="1" x14ac:dyDescent="0.25">
      <c r="A13" s="109"/>
      <c r="B13" s="111" t="s">
        <v>145</v>
      </c>
      <c r="C13" s="111"/>
      <c r="D13" s="162">
        <v>2016</v>
      </c>
      <c r="E13" s="167">
        <f>SUM(F13:G13)</f>
        <v>81</v>
      </c>
      <c r="F13" s="167">
        <v>17</v>
      </c>
      <c r="G13" s="167">
        <v>64</v>
      </c>
      <c r="H13" s="24"/>
    </row>
    <row r="14" spans="1:8" s="6" customFormat="1" ht="15" customHeight="1" x14ac:dyDescent="0.25">
      <c r="A14" s="109"/>
      <c r="B14" s="113"/>
      <c r="C14" s="111"/>
      <c r="D14" s="162">
        <v>2017</v>
      </c>
      <c r="E14" s="167">
        <f t="shared" ref="E14:E15" si="0">SUM(F14:G14)</f>
        <v>84</v>
      </c>
      <c r="F14" s="167">
        <v>10</v>
      </c>
      <c r="G14" s="167">
        <v>74</v>
      </c>
      <c r="H14" s="24"/>
    </row>
    <row r="15" spans="1:8" s="6" customFormat="1" ht="15" customHeight="1" x14ac:dyDescent="0.25">
      <c r="A15" s="109"/>
      <c r="B15" s="113"/>
      <c r="C15" s="111"/>
      <c r="D15" s="162">
        <v>2018</v>
      </c>
      <c r="E15" s="167">
        <f t="shared" si="0"/>
        <v>96</v>
      </c>
      <c r="F15" s="167">
        <v>13</v>
      </c>
      <c r="G15" s="167">
        <v>83</v>
      </c>
      <c r="H15" s="24"/>
    </row>
    <row r="16" spans="1:8" s="6" customFormat="1" ht="8.1" customHeight="1" x14ac:dyDescent="0.25">
      <c r="A16" s="109"/>
      <c r="B16" s="113"/>
      <c r="C16" s="111"/>
      <c r="D16" s="162"/>
      <c r="E16" s="167"/>
      <c r="F16" s="167"/>
      <c r="G16" s="167"/>
      <c r="H16" s="24"/>
    </row>
    <row r="17" spans="1:8" s="6" customFormat="1" ht="15" customHeight="1" x14ac:dyDescent="0.25">
      <c r="A17" s="109"/>
      <c r="B17" s="111" t="s">
        <v>146</v>
      </c>
      <c r="C17" s="111"/>
      <c r="D17" s="162">
        <v>2016</v>
      </c>
      <c r="E17" s="167">
        <f>SUM(F17:G17)</f>
        <v>906</v>
      </c>
      <c r="F17" s="167">
        <v>105</v>
      </c>
      <c r="G17" s="167">
        <v>801</v>
      </c>
      <c r="H17" s="24"/>
    </row>
    <row r="18" spans="1:8" s="6" customFormat="1" ht="15" customHeight="1" x14ac:dyDescent="0.25">
      <c r="A18" s="109"/>
      <c r="B18" s="113"/>
      <c r="C18" s="111"/>
      <c r="D18" s="162">
        <v>2017</v>
      </c>
      <c r="E18" s="167">
        <f t="shared" ref="E18:E19" si="1">SUM(F18:G18)</f>
        <v>908</v>
      </c>
      <c r="F18" s="167">
        <v>78</v>
      </c>
      <c r="G18" s="167">
        <v>830</v>
      </c>
      <c r="H18" s="24"/>
    </row>
    <row r="19" spans="1:8" s="6" customFormat="1" ht="15" customHeight="1" x14ac:dyDescent="0.25">
      <c r="A19" s="109"/>
      <c r="B19" s="113"/>
      <c r="C19" s="111"/>
      <c r="D19" s="162">
        <v>2018</v>
      </c>
      <c r="E19" s="167">
        <f t="shared" si="1"/>
        <v>780</v>
      </c>
      <c r="F19" s="167">
        <v>60</v>
      </c>
      <c r="G19" s="167">
        <v>720</v>
      </c>
      <c r="H19" s="24"/>
    </row>
    <row r="20" spans="1:8" s="6" customFormat="1" ht="8.1" customHeight="1" x14ac:dyDescent="0.25">
      <c r="A20" s="109"/>
      <c r="B20" s="113"/>
      <c r="C20" s="111"/>
      <c r="D20" s="162"/>
      <c r="E20" s="167"/>
      <c r="F20" s="167"/>
      <c r="G20" s="167"/>
      <c r="H20" s="24"/>
    </row>
    <row r="21" spans="1:8" s="6" customFormat="1" ht="15" customHeight="1" x14ac:dyDescent="0.25">
      <c r="A21" s="109"/>
      <c r="B21" s="111" t="s">
        <v>147</v>
      </c>
      <c r="C21" s="111"/>
      <c r="D21" s="162">
        <v>2016</v>
      </c>
      <c r="E21" s="167">
        <f>SUM(F21:G21)</f>
        <v>32</v>
      </c>
      <c r="F21" s="167">
        <v>1</v>
      </c>
      <c r="G21" s="167">
        <v>31</v>
      </c>
      <c r="H21" s="24"/>
    </row>
    <row r="22" spans="1:8" s="6" customFormat="1" ht="15" customHeight="1" x14ac:dyDescent="0.25">
      <c r="A22" s="109"/>
      <c r="B22" s="113"/>
      <c r="C22" s="111"/>
      <c r="D22" s="162">
        <v>2017</v>
      </c>
      <c r="E22" s="167">
        <f t="shared" ref="E22:E23" si="2">SUM(F22:G22)</f>
        <v>34</v>
      </c>
      <c r="F22" s="167">
        <v>8</v>
      </c>
      <c r="G22" s="167">
        <v>26</v>
      </c>
      <c r="H22" s="24"/>
    </row>
    <row r="23" spans="1:8" s="6" customFormat="1" ht="15" customHeight="1" x14ac:dyDescent="0.25">
      <c r="A23" s="109"/>
      <c r="B23" s="113"/>
      <c r="C23" s="111"/>
      <c r="D23" s="162">
        <v>2018</v>
      </c>
      <c r="E23" s="167">
        <f t="shared" si="2"/>
        <v>25</v>
      </c>
      <c r="F23" s="167">
        <v>11</v>
      </c>
      <c r="G23" s="167">
        <v>14</v>
      </c>
      <c r="H23" s="24"/>
    </row>
    <row r="24" spans="1:8" s="6" customFormat="1" ht="8.1" customHeight="1" x14ac:dyDescent="0.25">
      <c r="A24" s="109"/>
      <c r="B24" s="113"/>
      <c r="C24" s="111"/>
      <c r="D24" s="162"/>
      <c r="E24" s="167"/>
      <c r="F24" s="167"/>
      <c r="G24" s="167"/>
      <c r="H24" s="24"/>
    </row>
    <row r="25" spans="1:8" s="6" customFormat="1" ht="15" customHeight="1" x14ac:dyDescent="0.25">
      <c r="A25" s="109"/>
      <c r="B25" s="111" t="s">
        <v>148</v>
      </c>
      <c r="C25" s="111"/>
      <c r="D25" s="162">
        <v>2016</v>
      </c>
      <c r="E25" s="167">
        <f>SUM(F25:G25)</f>
        <v>206</v>
      </c>
      <c r="F25" s="167">
        <v>26</v>
      </c>
      <c r="G25" s="167">
        <v>180</v>
      </c>
      <c r="H25" s="24"/>
    </row>
    <row r="26" spans="1:8" s="6" customFormat="1" ht="15" customHeight="1" x14ac:dyDescent="0.25">
      <c r="A26" s="109"/>
      <c r="B26" s="113"/>
      <c r="C26" s="111"/>
      <c r="D26" s="162">
        <v>2017</v>
      </c>
      <c r="E26" s="167">
        <f t="shared" ref="E26:E27" si="3">SUM(F26:G26)</f>
        <v>177</v>
      </c>
      <c r="F26" s="167">
        <v>28</v>
      </c>
      <c r="G26" s="167">
        <v>149</v>
      </c>
      <c r="H26" s="24"/>
    </row>
    <row r="27" spans="1:8" s="6" customFormat="1" ht="15" customHeight="1" x14ac:dyDescent="0.25">
      <c r="A27" s="109"/>
      <c r="B27" s="113"/>
      <c r="C27" s="111"/>
      <c r="D27" s="162">
        <v>2018</v>
      </c>
      <c r="E27" s="167">
        <f t="shared" si="3"/>
        <v>158</v>
      </c>
      <c r="F27" s="167">
        <v>9</v>
      </c>
      <c r="G27" s="167">
        <v>149</v>
      </c>
      <c r="H27" s="24"/>
    </row>
    <row r="28" spans="1:8" s="6" customFormat="1" ht="8.1" customHeight="1" x14ac:dyDescent="0.25">
      <c r="A28" s="109"/>
      <c r="B28" s="113"/>
      <c r="C28" s="111"/>
      <c r="D28" s="162"/>
      <c r="E28" s="167"/>
      <c r="F28" s="167"/>
      <c r="G28" s="167"/>
      <c r="H28" s="24"/>
    </row>
    <row r="29" spans="1:8" s="6" customFormat="1" ht="15" customHeight="1" x14ac:dyDescent="0.25">
      <c r="A29" s="109"/>
      <c r="B29" s="111" t="s">
        <v>149</v>
      </c>
      <c r="C29" s="111"/>
      <c r="D29" s="162">
        <v>2016</v>
      </c>
      <c r="E29" s="167">
        <f>SUM(F29:G29)</f>
        <v>130</v>
      </c>
      <c r="F29" s="167">
        <v>19</v>
      </c>
      <c r="G29" s="167">
        <v>111</v>
      </c>
      <c r="H29" s="24"/>
    </row>
    <row r="30" spans="1:8" s="6" customFormat="1" ht="15" customHeight="1" x14ac:dyDescent="0.25">
      <c r="A30" s="109"/>
      <c r="B30" s="113"/>
      <c r="C30" s="111"/>
      <c r="D30" s="162">
        <v>2017</v>
      </c>
      <c r="E30" s="167">
        <f t="shared" ref="E30:E31" si="4">SUM(F30:G30)</f>
        <v>145</v>
      </c>
      <c r="F30" s="167">
        <v>25</v>
      </c>
      <c r="G30" s="167">
        <v>120</v>
      </c>
      <c r="H30" s="24"/>
    </row>
    <row r="31" spans="1:8" s="6" customFormat="1" ht="15" customHeight="1" x14ac:dyDescent="0.25">
      <c r="A31" s="109"/>
      <c r="B31" s="113"/>
      <c r="C31" s="111"/>
      <c r="D31" s="162">
        <v>2018</v>
      </c>
      <c r="E31" s="167">
        <f t="shared" si="4"/>
        <v>121</v>
      </c>
      <c r="F31" s="167">
        <v>18</v>
      </c>
      <c r="G31" s="167">
        <v>103</v>
      </c>
      <c r="H31" s="24"/>
    </row>
    <row r="32" spans="1:8" s="6" customFormat="1" ht="8.1" customHeight="1" x14ac:dyDescent="0.25">
      <c r="A32" s="109"/>
      <c r="B32" s="113"/>
      <c r="C32" s="111"/>
      <c r="D32" s="162"/>
      <c r="E32" s="167"/>
      <c r="F32" s="167"/>
      <c r="G32" s="167"/>
      <c r="H32" s="24"/>
    </row>
    <row r="33" spans="1:8" s="6" customFormat="1" ht="15" customHeight="1" x14ac:dyDescent="0.25">
      <c r="A33" s="109"/>
      <c r="B33" s="111" t="s">
        <v>150</v>
      </c>
      <c r="C33" s="111"/>
      <c r="D33" s="162">
        <v>2016</v>
      </c>
      <c r="E33" s="167">
        <f>SUM(F33:G33)</f>
        <v>810</v>
      </c>
      <c r="F33" s="167">
        <v>104</v>
      </c>
      <c r="G33" s="167">
        <v>706</v>
      </c>
      <c r="H33" s="24"/>
    </row>
    <row r="34" spans="1:8" s="6" customFormat="1" ht="15" customHeight="1" x14ac:dyDescent="0.25">
      <c r="A34" s="109"/>
      <c r="B34" s="113"/>
      <c r="C34" s="111"/>
      <c r="D34" s="162">
        <v>2017</v>
      </c>
      <c r="E34" s="167">
        <f t="shared" ref="E34:E35" si="5">SUM(F34:G34)</f>
        <v>756</v>
      </c>
      <c r="F34" s="167">
        <v>122</v>
      </c>
      <c r="G34" s="167">
        <v>634</v>
      </c>
      <c r="H34" s="24"/>
    </row>
    <row r="35" spans="1:8" s="6" customFormat="1" ht="15" customHeight="1" x14ac:dyDescent="0.25">
      <c r="A35" s="109"/>
      <c r="B35" s="113"/>
      <c r="C35" s="111"/>
      <c r="D35" s="162">
        <v>2018</v>
      </c>
      <c r="E35" s="167">
        <f t="shared" si="5"/>
        <v>697</v>
      </c>
      <c r="F35" s="167">
        <v>71</v>
      </c>
      <c r="G35" s="167">
        <v>626</v>
      </c>
      <c r="H35" s="24"/>
    </row>
    <row r="36" spans="1:8" s="6" customFormat="1" ht="8.1" customHeight="1" x14ac:dyDescent="0.25">
      <c r="A36" s="109"/>
      <c r="B36" s="113"/>
      <c r="C36" s="111"/>
      <c r="D36" s="162"/>
      <c r="E36" s="167"/>
      <c r="F36" s="167"/>
      <c r="G36" s="167"/>
      <c r="H36" s="24"/>
    </row>
    <row r="37" spans="1:8" s="6" customFormat="1" ht="15" customHeight="1" x14ac:dyDescent="0.25">
      <c r="A37" s="109"/>
      <c r="B37" s="111" t="s">
        <v>151</v>
      </c>
      <c r="C37" s="111"/>
      <c r="D37" s="162">
        <v>2016</v>
      </c>
      <c r="E37" s="167">
        <f>SUM(F37:G37)</f>
        <v>53</v>
      </c>
      <c r="F37" s="167">
        <v>7</v>
      </c>
      <c r="G37" s="167">
        <v>46</v>
      </c>
      <c r="H37" s="24"/>
    </row>
    <row r="38" spans="1:8" s="6" customFormat="1" ht="15" customHeight="1" x14ac:dyDescent="0.25">
      <c r="A38" s="109"/>
      <c r="B38" s="113"/>
      <c r="C38" s="111"/>
      <c r="D38" s="162">
        <v>2017</v>
      </c>
      <c r="E38" s="167">
        <f t="shared" ref="E38:E39" si="6">SUM(F38:G38)</f>
        <v>34</v>
      </c>
      <c r="F38" s="167">
        <v>5</v>
      </c>
      <c r="G38" s="167">
        <v>29</v>
      </c>
      <c r="H38" s="24"/>
    </row>
    <row r="39" spans="1:8" s="6" customFormat="1" ht="15" customHeight="1" x14ac:dyDescent="0.25">
      <c r="A39" s="109"/>
      <c r="B39" s="113"/>
      <c r="C39" s="111"/>
      <c r="D39" s="162">
        <v>2018</v>
      </c>
      <c r="E39" s="167">
        <f t="shared" si="6"/>
        <v>39</v>
      </c>
      <c r="F39" s="167">
        <v>9</v>
      </c>
      <c r="G39" s="167">
        <v>30</v>
      </c>
      <c r="H39" s="24"/>
    </row>
    <row r="40" spans="1:8" s="6" customFormat="1" ht="8.1" customHeight="1" x14ac:dyDescent="0.25">
      <c r="A40" s="109"/>
      <c r="B40" s="113"/>
      <c r="C40" s="111"/>
      <c r="D40" s="162"/>
      <c r="E40" s="167"/>
      <c r="F40" s="167"/>
      <c r="G40" s="167"/>
      <c r="H40" s="24"/>
    </row>
    <row r="41" spans="1:8" s="6" customFormat="1" ht="15" customHeight="1" x14ac:dyDescent="0.25">
      <c r="A41" s="109"/>
      <c r="B41" s="111" t="s">
        <v>152</v>
      </c>
      <c r="C41" s="111"/>
      <c r="D41" s="162">
        <v>2016</v>
      </c>
      <c r="E41" s="167">
        <f>SUM(F41:G41)</f>
        <v>7</v>
      </c>
      <c r="F41" s="167">
        <v>3</v>
      </c>
      <c r="G41" s="167">
        <v>4</v>
      </c>
      <c r="H41" s="24"/>
    </row>
    <row r="42" spans="1:8" s="6" customFormat="1" ht="15" customHeight="1" x14ac:dyDescent="0.25">
      <c r="A42" s="109"/>
      <c r="B42" s="113"/>
      <c r="C42" s="111"/>
      <c r="D42" s="162">
        <v>2017</v>
      </c>
      <c r="E42" s="167">
        <f t="shared" ref="E42:E43" si="7">SUM(F42:G42)</f>
        <v>7</v>
      </c>
      <c r="F42" s="167">
        <v>3</v>
      </c>
      <c r="G42" s="167">
        <v>4</v>
      </c>
      <c r="H42" s="24"/>
    </row>
    <row r="43" spans="1:8" s="6" customFormat="1" ht="15" customHeight="1" x14ac:dyDescent="0.25">
      <c r="A43" s="109"/>
      <c r="B43" s="113"/>
      <c r="C43" s="111"/>
      <c r="D43" s="162">
        <v>2018</v>
      </c>
      <c r="E43" s="167">
        <f t="shared" si="7"/>
        <v>12</v>
      </c>
      <c r="F43" s="167">
        <v>2</v>
      </c>
      <c r="G43" s="167">
        <v>10</v>
      </c>
      <c r="H43" s="24"/>
    </row>
    <row r="44" spans="1:8" s="6" customFormat="1" ht="8.1" customHeight="1" x14ac:dyDescent="0.25">
      <c r="A44" s="109"/>
      <c r="B44" s="113"/>
      <c r="C44" s="111"/>
      <c r="D44" s="162"/>
      <c r="E44" s="167"/>
      <c r="F44" s="167"/>
      <c r="G44" s="167"/>
      <c r="H44" s="24"/>
    </row>
    <row r="45" spans="1:8" s="6" customFormat="1" ht="15" customHeight="1" x14ac:dyDescent="0.25">
      <c r="A45" s="109"/>
      <c r="B45" s="111" t="s">
        <v>153</v>
      </c>
      <c r="C45" s="111"/>
      <c r="D45" s="162">
        <v>2016</v>
      </c>
      <c r="E45" s="167">
        <f>SUM(F45:G45)</f>
        <v>118</v>
      </c>
      <c r="F45" s="167">
        <v>9</v>
      </c>
      <c r="G45" s="167">
        <v>109</v>
      </c>
      <c r="H45" s="24"/>
    </row>
    <row r="46" spans="1:8" s="6" customFormat="1" ht="15" customHeight="1" x14ac:dyDescent="0.25">
      <c r="A46" s="109"/>
      <c r="B46" s="113"/>
      <c r="C46" s="111"/>
      <c r="D46" s="162">
        <v>2017</v>
      </c>
      <c r="E46" s="167">
        <f t="shared" ref="E46:E47" si="8">SUM(F46:G46)</f>
        <v>116</v>
      </c>
      <c r="F46" s="167">
        <v>21</v>
      </c>
      <c r="G46" s="167">
        <v>95</v>
      </c>
      <c r="H46" s="24"/>
    </row>
    <row r="47" spans="1:8" s="6" customFormat="1" ht="15" customHeight="1" x14ac:dyDescent="0.25">
      <c r="A47" s="109"/>
      <c r="B47" s="113"/>
      <c r="C47" s="111"/>
      <c r="D47" s="162">
        <v>2018</v>
      </c>
      <c r="E47" s="167">
        <f t="shared" si="8"/>
        <v>99</v>
      </c>
      <c r="F47" s="167">
        <v>26</v>
      </c>
      <c r="G47" s="167">
        <v>73</v>
      </c>
      <c r="H47" s="24"/>
    </row>
    <row r="48" spans="1:8" s="6" customFormat="1" ht="8.1" customHeight="1" x14ac:dyDescent="0.25">
      <c r="A48" s="109"/>
      <c r="B48" s="113"/>
      <c r="C48" s="111"/>
      <c r="D48" s="162"/>
      <c r="E48" s="167"/>
      <c r="F48" s="167"/>
      <c r="G48" s="167"/>
      <c r="H48" s="24"/>
    </row>
    <row r="49" spans="1:8" s="6" customFormat="1" ht="15" customHeight="1" x14ac:dyDescent="0.25">
      <c r="A49" s="109"/>
      <c r="B49" s="111" t="s">
        <v>154</v>
      </c>
      <c r="C49" s="111"/>
      <c r="D49" s="162">
        <v>2016</v>
      </c>
      <c r="E49" s="167">
        <f>SUM(F49:G49)</f>
        <v>26</v>
      </c>
      <c r="F49" s="167">
        <v>5</v>
      </c>
      <c r="G49" s="167">
        <v>21</v>
      </c>
      <c r="H49" s="24"/>
    </row>
    <row r="50" spans="1:8" s="6" customFormat="1" ht="15" customHeight="1" x14ac:dyDescent="0.25">
      <c r="A50" s="109"/>
      <c r="B50" s="114"/>
      <c r="C50" s="111"/>
      <c r="D50" s="162">
        <v>2017</v>
      </c>
      <c r="E50" s="167">
        <f t="shared" ref="E50:E51" si="9">SUM(F50:G50)</f>
        <v>17</v>
      </c>
      <c r="F50" s="167">
        <v>5</v>
      </c>
      <c r="G50" s="167">
        <v>12</v>
      </c>
      <c r="H50" s="24"/>
    </row>
    <row r="51" spans="1:8" s="6" customFormat="1" ht="15" customHeight="1" x14ac:dyDescent="0.25">
      <c r="A51" s="109"/>
      <c r="B51" s="109"/>
      <c r="C51" s="109"/>
      <c r="D51" s="162">
        <v>2018</v>
      </c>
      <c r="E51" s="167">
        <f t="shared" si="9"/>
        <v>29</v>
      </c>
      <c r="F51" s="167">
        <v>4</v>
      </c>
      <c r="G51" s="167">
        <v>25</v>
      </c>
      <c r="H51" s="24"/>
    </row>
    <row r="52" spans="1:8" s="6" customFormat="1" ht="8.1" customHeight="1" thickBot="1" x14ac:dyDescent="0.3">
      <c r="A52" s="108"/>
      <c r="B52" s="108"/>
      <c r="C52" s="108"/>
      <c r="D52" s="108"/>
      <c r="E52" s="73"/>
      <c r="F52" s="61"/>
      <c r="G52" s="61"/>
      <c r="H52" s="103"/>
    </row>
    <row r="53" spans="1:8" s="96" customFormat="1" ht="15" customHeight="1" x14ac:dyDescent="0.2">
      <c r="B53" s="104"/>
      <c r="C53" s="104"/>
      <c r="D53" s="104"/>
      <c r="E53" s="8"/>
      <c r="F53" s="95"/>
      <c r="G53" s="8" t="s">
        <v>101</v>
      </c>
    </row>
    <row r="54" spans="1:8" s="18" customFormat="1" ht="15" customHeight="1" x14ac:dyDescent="0.2">
      <c r="B54" s="98"/>
      <c r="C54" s="98"/>
      <c r="D54" s="135"/>
      <c r="E54" s="8"/>
      <c r="F54" s="95"/>
      <c r="G54" s="41" t="s">
        <v>1</v>
      </c>
    </row>
    <row r="55" spans="1:8" ht="15" customHeight="1" x14ac:dyDescent="0.25">
      <c r="D55" s="133"/>
    </row>
    <row r="56" spans="1:8" x14ac:dyDescent="0.25">
      <c r="D56" s="133"/>
    </row>
    <row r="57" spans="1:8" x14ac:dyDescent="0.25">
      <c r="D57" s="133"/>
    </row>
    <row r="58" spans="1:8" x14ac:dyDescent="0.25">
      <c r="D58" s="133"/>
    </row>
    <row r="59" spans="1:8" x14ac:dyDescent="0.25">
      <c r="D59" s="133"/>
    </row>
    <row r="60" spans="1:8" x14ac:dyDescent="0.25">
      <c r="D60" s="133"/>
    </row>
    <row r="61" spans="1:8" x14ac:dyDescent="0.25">
      <c r="D61" s="133"/>
    </row>
    <row r="62" spans="1:8" x14ac:dyDescent="0.25">
      <c r="D62" s="133"/>
    </row>
    <row r="63" spans="1:8" x14ac:dyDescent="0.25">
      <c r="D63" s="133"/>
    </row>
    <row r="64" spans="1:8" x14ac:dyDescent="0.25">
      <c r="D64" s="133"/>
    </row>
    <row r="65" spans="4:8" x14ac:dyDescent="0.25">
      <c r="D65" s="133"/>
    </row>
    <row r="66" spans="4:8" s="3" customFormat="1" ht="15" customHeight="1" x14ac:dyDescent="0.25">
      <c r="D66" s="133"/>
      <c r="E66" s="21"/>
      <c r="F66" s="22"/>
      <c r="G66" s="22"/>
      <c r="H66" s="2"/>
    </row>
    <row r="67" spans="4:8" x14ac:dyDescent="0.25">
      <c r="D67" s="133"/>
    </row>
    <row r="68" spans="4:8" x14ac:dyDescent="0.25">
      <c r="D68" s="133"/>
    </row>
    <row r="69" spans="4:8" x14ac:dyDescent="0.25">
      <c r="D69" s="133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tabSelected="1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9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71"/>
    </row>
    <row r="4" spans="1:8" s="30" customFormat="1" ht="12" customHeight="1" x14ac:dyDescent="0.25">
      <c r="B4" s="27"/>
      <c r="C4" s="27"/>
      <c r="D4" s="27"/>
      <c r="E4" s="28"/>
      <c r="F4" s="29"/>
      <c r="G4" s="71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8" s="53" customFormat="1" ht="33" customHeight="1" thickBot="1" x14ac:dyDescent="0.25">
      <c r="A9" s="348"/>
      <c r="B9" s="464"/>
      <c r="C9" s="464"/>
      <c r="D9" s="458"/>
      <c r="E9" s="458"/>
      <c r="F9" s="460"/>
      <c r="G9" s="460"/>
      <c r="H9" s="344"/>
    </row>
    <row r="10" spans="1:8" ht="6.95" customHeight="1" x14ac:dyDescent="0.2">
      <c r="A10" s="45"/>
      <c r="B10" s="46"/>
      <c r="C10" s="46"/>
      <c r="D10" s="46"/>
      <c r="E10" s="465"/>
      <c r="F10" s="465"/>
      <c r="G10" s="465"/>
      <c r="H10" s="45"/>
    </row>
    <row r="11" spans="1:8" s="105" customFormat="1" ht="12.95" customHeight="1" x14ac:dyDescent="0.2">
      <c r="B11" s="112" t="s">
        <v>102</v>
      </c>
      <c r="C11" s="64"/>
      <c r="D11" s="65">
        <v>2016</v>
      </c>
      <c r="E11" s="166">
        <f>SUM(E15,E19,E23,E27,E31,E35,E39,E43,E47,E51,E55,E59,E63,E67,E71)</f>
        <v>31223</v>
      </c>
      <c r="F11" s="166">
        <f>SUM(F15,F19,F23,F27,F31,F35,F39,F43,F47,F51,F55,F59,F63,F67,F71)</f>
        <v>6611</v>
      </c>
      <c r="G11" s="166">
        <f>SUM(G15,G19,G23,G27,G31,G35,G39,G43,G47,G51,G55,G59,G63,G67,G71)</f>
        <v>24612</v>
      </c>
    </row>
    <row r="12" spans="1:8" s="105" customFormat="1" ht="12" customHeight="1" x14ac:dyDescent="0.2">
      <c r="B12" s="113"/>
      <c r="C12" s="64"/>
      <c r="D12" s="65">
        <v>2017</v>
      </c>
      <c r="E12" s="166">
        <f t="shared" ref="E12" si="0">SUM(E16,E20,E24,E28,E32,E36,E40,E44,E48,E52,E56,E60,E64,E68,E72)</f>
        <v>26069</v>
      </c>
      <c r="F12" s="166">
        <f t="shared" ref="F12:G13" si="1">SUM(F16,F20,F24,F28,F32,F36,F40,F44,F48,F52,F56,F60,F64,F68,F72)</f>
        <v>6470</v>
      </c>
      <c r="G12" s="166">
        <f t="shared" si="1"/>
        <v>19599</v>
      </c>
    </row>
    <row r="13" spans="1:8" s="105" customFormat="1" ht="12" customHeight="1" x14ac:dyDescent="0.2">
      <c r="B13" s="113"/>
      <c r="C13" s="64"/>
      <c r="D13" s="65">
        <v>2018</v>
      </c>
      <c r="E13" s="166">
        <f t="shared" ref="E13" si="2">SUM(E17,E21,E25,E29,E33,E37,E41,E45,E49,E53,E57,E61,E65,E69,E73)</f>
        <v>21420</v>
      </c>
      <c r="F13" s="166">
        <f t="shared" si="1"/>
        <v>4658</v>
      </c>
      <c r="G13" s="166">
        <f t="shared" si="1"/>
        <v>16762</v>
      </c>
    </row>
    <row r="14" spans="1:8" ht="6.95" customHeight="1" x14ac:dyDescent="0.2">
      <c r="A14" s="7"/>
      <c r="B14" s="39"/>
      <c r="C14" s="13"/>
      <c r="D14" s="65"/>
      <c r="E14" s="9"/>
      <c r="F14" s="9"/>
      <c r="G14" s="9"/>
      <c r="H14" s="7"/>
    </row>
    <row r="15" spans="1:8" s="53" customFormat="1" ht="12" customHeight="1" x14ac:dyDescent="0.2">
      <c r="B15" s="111" t="s">
        <v>103</v>
      </c>
      <c r="C15" s="64"/>
      <c r="D15" s="162">
        <v>2016</v>
      </c>
      <c r="E15" s="167">
        <f>SUM(F15:G15)</f>
        <v>3104</v>
      </c>
      <c r="F15" s="167">
        <v>555</v>
      </c>
      <c r="G15" s="167">
        <v>2549</v>
      </c>
    </row>
    <row r="16" spans="1:8" s="53" customFormat="1" ht="12" customHeight="1" x14ac:dyDescent="0.2">
      <c r="B16" s="116"/>
      <c r="C16" s="64"/>
      <c r="D16" s="162">
        <v>2017</v>
      </c>
      <c r="E16" s="167">
        <f t="shared" ref="E16:E17" si="3">SUM(F16:G16)</f>
        <v>2667</v>
      </c>
      <c r="F16" s="167">
        <v>707</v>
      </c>
      <c r="G16" s="167">
        <v>1960</v>
      </c>
    </row>
    <row r="17" spans="2:7" s="53" customFormat="1" ht="12" customHeight="1" x14ac:dyDescent="0.2">
      <c r="B17" s="116"/>
      <c r="C17" s="58"/>
      <c r="D17" s="162">
        <v>2018</v>
      </c>
      <c r="E17" s="167">
        <f t="shared" si="3"/>
        <v>2399</v>
      </c>
      <c r="F17" s="167">
        <v>571</v>
      </c>
      <c r="G17" s="167">
        <v>1828</v>
      </c>
    </row>
    <row r="18" spans="2:7" s="53" customFormat="1" ht="6.95" customHeight="1" x14ac:dyDescent="0.2">
      <c r="B18" s="116"/>
      <c r="C18" s="58"/>
      <c r="D18" s="162"/>
      <c r="E18" s="167"/>
      <c r="F18" s="167"/>
      <c r="G18" s="167"/>
    </row>
    <row r="19" spans="2:7" s="53" customFormat="1" ht="12" customHeight="1" x14ac:dyDescent="0.2">
      <c r="B19" s="111" t="s">
        <v>104</v>
      </c>
      <c r="C19" s="58"/>
      <c r="D19" s="162">
        <v>2016</v>
      </c>
      <c r="E19" s="167">
        <f>SUM(F19:G19)</f>
        <v>3716</v>
      </c>
      <c r="F19" s="167">
        <v>854</v>
      </c>
      <c r="G19" s="167">
        <v>2862</v>
      </c>
    </row>
    <row r="20" spans="2:7" s="53" customFormat="1" ht="12" customHeight="1" x14ac:dyDescent="0.2">
      <c r="B20" s="116"/>
      <c r="C20" s="58"/>
      <c r="D20" s="162">
        <v>2017</v>
      </c>
      <c r="E20" s="167">
        <f t="shared" ref="E20:E21" si="4">SUM(F20:G20)</f>
        <v>3084</v>
      </c>
      <c r="F20" s="167">
        <v>838</v>
      </c>
      <c r="G20" s="167">
        <v>2246</v>
      </c>
    </row>
    <row r="21" spans="2:7" s="53" customFormat="1" ht="12" customHeight="1" x14ac:dyDescent="0.2">
      <c r="B21" s="116"/>
      <c r="C21" s="58"/>
      <c r="D21" s="162">
        <v>2018</v>
      </c>
      <c r="E21" s="167">
        <f t="shared" si="4"/>
        <v>2494</v>
      </c>
      <c r="F21" s="167">
        <v>563</v>
      </c>
      <c r="G21" s="167">
        <v>1931</v>
      </c>
    </row>
    <row r="22" spans="2:7" s="53" customFormat="1" ht="6.95" customHeight="1" x14ac:dyDescent="0.2">
      <c r="B22" s="116"/>
      <c r="C22" s="58"/>
      <c r="D22" s="162"/>
      <c r="E22" s="167"/>
      <c r="F22" s="167"/>
      <c r="G22" s="167"/>
    </row>
    <row r="23" spans="2:7" s="53" customFormat="1" ht="12" customHeight="1" x14ac:dyDescent="0.2">
      <c r="B23" s="111" t="s">
        <v>105</v>
      </c>
      <c r="C23" s="58"/>
      <c r="D23" s="162">
        <v>2016</v>
      </c>
      <c r="E23" s="167">
        <f>SUM(F23:G23)</f>
        <v>493</v>
      </c>
      <c r="F23" s="167">
        <v>88</v>
      </c>
      <c r="G23" s="167">
        <v>405</v>
      </c>
    </row>
    <row r="24" spans="2:7" s="53" customFormat="1" ht="12" customHeight="1" x14ac:dyDescent="0.2">
      <c r="B24" s="116"/>
      <c r="C24" s="58"/>
      <c r="D24" s="162">
        <v>2017</v>
      </c>
      <c r="E24" s="167">
        <f t="shared" ref="E24:E25" si="5">SUM(F24:G24)</f>
        <v>482</v>
      </c>
      <c r="F24" s="167">
        <v>110</v>
      </c>
      <c r="G24" s="167">
        <v>372</v>
      </c>
    </row>
    <row r="25" spans="2:7" s="53" customFormat="1" ht="12" customHeight="1" x14ac:dyDescent="0.2">
      <c r="B25" s="116"/>
      <c r="C25" s="58"/>
      <c r="D25" s="162">
        <v>2018</v>
      </c>
      <c r="E25" s="167">
        <f t="shared" si="5"/>
        <v>455</v>
      </c>
      <c r="F25" s="167">
        <v>98</v>
      </c>
      <c r="G25" s="167">
        <v>357</v>
      </c>
    </row>
    <row r="26" spans="2:7" s="53" customFormat="1" ht="6.95" customHeight="1" x14ac:dyDescent="0.2">
      <c r="B26" s="116"/>
      <c r="C26" s="58"/>
      <c r="D26" s="162"/>
      <c r="E26" s="167"/>
      <c r="F26" s="167"/>
      <c r="G26" s="167"/>
    </row>
    <row r="27" spans="2:7" s="53" customFormat="1" ht="12" customHeight="1" x14ac:dyDescent="0.2">
      <c r="B27" s="111" t="s">
        <v>106</v>
      </c>
      <c r="C27" s="58"/>
      <c r="D27" s="162">
        <v>2016</v>
      </c>
      <c r="E27" s="167">
        <f>SUM(F27:G27)</f>
        <v>3936</v>
      </c>
      <c r="F27" s="167">
        <v>701</v>
      </c>
      <c r="G27" s="167">
        <v>3235</v>
      </c>
    </row>
    <row r="28" spans="2:7" s="53" customFormat="1" ht="12" customHeight="1" x14ac:dyDescent="0.2">
      <c r="B28" s="116"/>
      <c r="C28" s="58"/>
      <c r="D28" s="162">
        <v>2017</v>
      </c>
      <c r="E28" s="167">
        <f t="shared" ref="E28:E29" si="6">SUM(F28:G28)</f>
        <v>3612</v>
      </c>
      <c r="F28" s="167">
        <v>971</v>
      </c>
      <c r="G28" s="167">
        <v>2641</v>
      </c>
    </row>
    <row r="29" spans="2:7" s="53" customFormat="1" ht="12" customHeight="1" x14ac:dyDescent="0.2">
      <c r="B29" s="116"/>
      <c r="C29" s="58"/>
      <c r="D29" s="162">
        <v>2018</v>
      </c>
      <c r="E29" s="167">
        <f t="shared" si="6"/>
        <v>2403</v>
      </c>
      <c r="F29" s="167">
        <v>497</v>
      </c>
      <c r="G29" s="167">
        <v>1906</v>
      </c>
    </row>
    <row r="30" spans="2:7" s="53" customFormat="1" ht="6.95" customHeight="1" x14ac:dyDescent="0.2">
      <c r="B30" s="116"/>
      <c r="C30" s="58"/>
      <c r="D30" s="162"/>
      <c r="E30" s="167"/>
      <c r="F30" s="167"/>
      <c r="G30" s="167"/>
    </row>
    <row r="31" spans="2:7" s="53" customFormat="1" ht="12" customHeight="1" x14ac:dyDescent="0.2">
      <c r="B31" s="111" t="s">
        <v>107</v>
      </c>
      <c r="C31" s="58"/>
      <c r="D31" s="162">
        <v>2016</v>
      </c>
      <c r="E31" s="167">
        <f>SUM(F31:G31)</f>
        <v>2374</v>
      </c>
      <c r="F31" s="167">
        <v>670</v>
      </c>
      <c r="G31" s="167">
        <v>1704</v>
      </c>
    </row>
    <row r="32" spans="2:7" s="53" customFormat="1" ht="12" customHeight="1" x14ac:dyDescent="0.2">
      <c r="B32" s="116"/>
      <c r="C32" s="58"/>
      <c r="D32" s="162">
        <v>2017</v>
      </c>
      <c r="E32" s="167">
        <f t="shared" ref="E32:E33" si="7">SUM(F32:G32)</f>
        <v>2192</v>
      </c>
      <c r="F32" s="167">
        <v>582</v>
      </c>
      <c r="G32" s="167">
        <v>1610</v>
      </c>
    </row>
    <row r="33" spans="2:7" s="53" customFormat="1" ht="12" customHeight="1" x14ac:dyDescent="0.2">
      <c r="B33" s="116"/>
      <c r="C33" s="58"/>
      <c r="D33" s="162">
        <v>2018</v>
      </c>
      <c r="E33" s="167">
        <f t="shared" si="7"/>
        <v>1927</v>
      </c>
      <c r="F33" s="167">
        <v>502</v>
      </c>
      <c r="G33" s="167">
        <v>1425</v>
      </c>
    </row>
    <row r="34" spans="2:7" s="53" customFormat="1" ht="6.95" customHeight="1" x14ac:dyDescent="0.2">
      <c r="B34" s="116"/>
      <c r="C34" s="58"/>
      <c r="D34" s="162"/>
      <c r="E34" s="167"/>
      <c r="F34" s="167"/>
      <c r="G34" s="167"/>
    </row>
    <row r="35" spans="2:7" s="53" customFormat="1" ht="12" customHeight="1" x14ac:dyDescent="0.2">
      <c r="B35" s="111" t="s">
        <v>108</v>
      </c>
      <c r="C35" s="58"/>
      <c r="D35" s="162">
        <v>2016</v>
      </c>
      <c r="E35" s="167">
        <f>SUM(F35:G35)</f>
        <v>1643</v>
      </c>
      <c r="F35" s="167">
        <v>439</v>
      </c>
      <c r="G35" s="167">
        <v>1204</v>
      </c>
    </row>
    <row r="36" spans="2:7" s="53" customFormat="1" ht="12" customHeight="1" x14ac:dyDescent="0.2">
      <c r="B36" s="116"/>
      <c r="C36" s="58"/>
      <c r="D36" s="162">
        <v>2017</v>
      </c>
      <c r="E36" s="167">
        <f t="shared" ref="E36:E37" si="8">SUM(F36:G36)</f>
        <v>1383</v>
      </c>
      <c r="F36" s="167">
        <v>392</v>
      </c>
      <c r="G36" s="167">
        <v>991</v>
      </c>
    </row>
    <row r="37" spans="2:7" s="53" customFormat="1" ht="12" customHeight="1" x14ac:dyDescent="0.2">
      <c r="B37" s="116"/>
      <c r="C37" s="58"/>
      <c r="D37" s="162">
        <v>2018</v>
      </c>
      <c r="E37" s="167">
        <f t="shared" si="8"/>
        <v>1048</v>
      </c>
      <c r="F37" s="167">
        <v>273</v>
      </c>
      <c r="G37" s="167">
        <v>775</v>
      </c>
    </row>
    <row r="38" spans="2:7" s="53" customFormat="1" ht="6.95" customHeight="1" x14ac:dyDescent="0.2">
      <c r="B38" s="116"/>
      <c r="C38" s="58"/>
      <c r="D38" s="162"/>
      <c r="E38" s="167"/>
      <c r="F38" s="167"/>
      <c r="G38" s="167"/>
    </row>
    <row r="39" spans="2:7" s="53" customFormat="1" ht="12" customHeight="1" x14ac:dyDescent="0.2">
      <c r="B39" s="111" t="s">
        <v>109</v>
      </c>
      <c r="C39" s="58"/>
      <c r="D39" s="162">
        <v>2016</v>
      </c>
      <c r="E39" s="167">
        <f>SUM(F39:G39)</f>
        <v>752</v>
      </c>
      <c r="F39" s="167">
        <v>158</v>
      </c>
      <c r="G39" s="167">
        <v>594</v>
      </c>
    </row>
    <row r="40" spans="2:7" s="53" customFormat="1" ht="12" customHeight="1" x14ac:dyDescent="0.2">
      <c r="B40" s="116"/>
      <c r="C40" s="58"/>
      <c r="D40" s="162">
        <v>2017</v>
      </c>
      <c r="E40" s="167">
        <f t="shared" ref="E40:E41" si="9">SUM(F40:G40)</f>
        <v>641</v>
      </c>
      <c r="F40" s="167">
        <v>151</v>
      </c>
      <c r="G40" s="167">
        <v>490</v>
      </c>
    </row>
    <row r="41" spans="2:7" s="53" customFormat="1" ht="12" customHeight="1" x14ac:dyDescent="0.2">
      <c r="B41" s="116"/>
      <c r="C41" s="58"/>
      <c r="D41" s="162">
        <v>2018</v>
      </c>
      <c r="E41" s="167">
        <f t="shared" si="9"/>
        <v>524</v>
      </c>
      <c r="F41" s="167">
        <v>129</v>
      </c>
      <c r="G41" s="167">
        <v>395</v>
      </c>
    </row>
    <row r="42" spans="2:7" s="53" customFormat="1" ht="6.95" customHeight="1" x14ac:dyDescent="0.2">
      <c r="B42" s="116"/>
      <c r="C42" s="58"/>
      <c r="D42" s="162"/>
      <c r="E42" s="167"/>
      <c r="F42" s="167"/>
      <c r="G42" s="167"/>
    </row>
    <row r="43" spans="2:7" s="53" customFormat="1" ht="12" customHeight="1" x14ac:dyDescent="0.2">
      <c r="B43" s="111" t="s">
        <v>110</v>
      </c>
      <c r="C43" s="58"/>
      <c r="D43" s="162">
        <v>2016</v>
      </c>
      <c r="E43" s="167">
        <f>SUM(F43:G43)</f>
        <v>546</v>
      </c>
      <c r="F43" s="167">
        <v>128</v>
      </c>
      <c r="G43" s="167">
        <v>418</v>
      </c>
    </row>
    <row r="44" spans="2:7" s="53" customFormat="1" ht="12" customHeight="1" x14ac:dyDescent="0.2">
      <c r="B44" s="116"/>
      <c r="C44" s="58"/>
      <c r="D44" s="162">
        <v>2017</v>
      </c>
      <c r="E44" s="167">
        <f t="shared" ref="E44:E45" si="10">SUM(F44:G44)</f>
        <v>418</v>
      </c>
      <c r="F44" s="167">
        <v>98</v>
      </c>
      <c r="G44" s="167">
        <v>320</v>
      </c>
    </row>
    <row r="45" spans="2:7" s="53" customFormat="1" ht="12" customHeight="1" x14ac:dyDescent="0.2">
      <c r="B45" s="116"/>
      <c r="C45" s="58"/>
      <c r="D45" s="162">
        <v>2018</v>
      </c>
      <c r="E45" s="167">
        <f t="shared" si="10"/>
        <v>364</v>
      </c>
      <c r="F45" s="167">
        <v>78</v>
      </c>
      <c r="G45" s="167">
        <v>286</v>
      </c>
    </row>
    <row r="46" spans="2:7" s="53" customFormat="1" ht="6.95" customHeight="1" x14ac:dyDescent="0.2">
      <c r="B46" s="116"/>
      <c r="C46" s="58"/>
      <c r="D46" s="162"/>
      <c r="E46" s="167"/>
      <c r="F46" s="167"/>
      <c r="G46" s="167"/>
    </row>
    <row r="47" spans="2:7" s="53" customFormat="1" ht="12" customHeight="1" x14ac:dyDescent="0.2">
      <c r="B47" s="111" t="s">
        <v>111</v>
      </c>
      <c r="C47" s="58"/>
      <c r="D47" s="162">
        <v>2016</v>
      </c>
      <c r="E47" s="167">
        <f>SUM(F47:G47)</f>
        <v>5005</v>
      </c>
      <c r="F47" s="167">
        <v>1304</v>
      </c>
      <c r="G47" s="167">
        <v>3701</v>
      </c>
    </row>
    <row r="48" spans="2:7" s="53" customFormat="1" ht="12" customHeight="1" x14ac:dyDescent="0.2">
      <c r="B48" s="116"/>
      <c r="C48" s="58"/>
      <c r="D48" s="162">
        <v>2017</v>
      </c>
      <c r="E48" s="167">
        <f t="shared" ref="E48:E49" si="11">SUM(F48:G48)</f>
        <v>4215</v>
      </c>
      <c r="F48" s="167">
        <v>1139</v>
      </c>
      <c r="G48" s="167">
        <v>3076</v>
      </c>
    </row>
    <row r="49" spans="2:7" s="53" customFormat="1" ht="12" customHeight="1" x14ac:dyDescent="0.2">
      <c r="B49" s="116"/>
      <c r="C49" s="58"/>
      <c r="D49" s="162">
        <v>2018</v>
      </c>
      <c r="E49" s="167">
        <f t="shared" si="11"/>
        <v>3363</v>
      </c>
      <c r="F49" s="167">
        <v>745</v>
      </c>
      <c r="G49" s="167">
        <v>2618</v>
      </c>
    </row>
    <row r="50" spans="2:7" s="53" customFormat="1" ht="6.95" customHeight="1" x14ac:dyDescent="0.2">
      <c r="B50" s="116"/>
      <c r="C50" s="58"/>
      <c r="D50" s="162"/>
      <c r="E50" s="167"/>
      <c r="F50" s="167"/>
      <c r="G50" s="167"/>
    </row>
    <row r="51" spans="2:7" s="53" customFormat="1" ht="12" customHeight="1" x14ac:dyDescent="0.2">
      <c r="B51" s="111" t="s">
        <v>112</v>
      </c>
      <c r="C51" s="58"/>
      <c r="D51" s="162">
        <v>2016</v>
      </c>
      <c r="E51" s="167">
        <f>SUM(F51:G51)</f>
        <v>419</v>
      </c>
      <c r="F51" s="167">
        <v>67</v>
      </c>
      <c r="G51" s="167">
        <v>352</v>
      </c>
    </row>
    <row r="52" spans="2:7" s="53" customFormat="1" ht="12" customHeight="1" x14ac:dyDescent="0.2">
      <c r="B52" s="116"/>
      <c r="C52" s="58"/>
      <c r="D52" s="162">
        <v>2017</v>
      </c>
      <c r="E52" s="167">
        <f t="shared" ref="E52:E53" si="12">SUM(F52:G52)</f>
        <v>397</v>
      </c>
      <c r="F52" s="167">
        <v>65</v>
      </c>
      <c r="G52" s="167">
        <v>332</v>
      </c>
    </row>
    <row r="53" spans="2:7" s="53" customFormat="1" ht="12" customHeight="1" x14ac:dyDescent="0.2">
      <c r="B53" s="116"/>
      <c r="C53" s="58"/>
      <c r="D53" s="162">
        <v>2018</v>
      </c>
      <c r="E53" s="167">
        <f t="shared" si="12"/>
        <v>359</v>
      </c>
      <c r="F53" s="167">
        <v>56</v>
      </c>
      <c r="G53" s="167">
        <v>303</v>
      </c>
    </row>
    <row r="54" spans="2:7" s="53" customFormat="1" ht="6.95" customHeight="1" x14ac:dyDescent="0.2">
      <c r="B54" s="116"/>
      <c r="C54" s="58"/>
      <c r="D54" s="162"/>
      <c r="E54" s="167"/>
      <c r="F54" s="167"/>
      <c r="G54" s="167"/>
    </row>
    <row r="55" spans="2:7" s="53" customFormat="1" ht="12" customHeight="1" x14ac:dyDescent="0.2">
      <c r="B55" s="111" t="s">
        <v>113</v>
      </c>
      <c r="C55" s="58"/>
      <c r="D55" s="162">
        <v>2016</v>
      </c>
      <c r="E55" s="167">
        <f>SUM(F55:G55)</f>
        <v>1173</v>
      </c>
      <c r="F55" s="167">
        <v>258</v>
      </c>
      <c r="G55" s="167">
        <v>915</v>
      </c>
    </row>
    <row r="56" spans="2:7" s="53" customFormat="1" ht="12" customHeight="1" x14ac:dyDescent="0.2">
      <c r="B56" s="116"/>
      <c r="C56" s="58"/>
      <c r="D56" s="162">
        <v>2017</v>
      </c>
      <c r="E56" s="167">
        <f t="shared" ref="E56:E57" si="13">SUM(F56:G56)</f>
        <v>782</v>
      </c>
      <c r="F56" s="167">
        <v>184</v>
      </c>
      <c r="G56" s="167">
        <v>598</v>
      </c>
    </row>
    <row r="57" spans="2:7" s="53" customFormat="1" ht="12" customHeight="1" x14ac:dyDescent="0.2">
      <c r="B57" s="116"/>
      <c r="C57" s="58"/>
      <c r="D57" s="162">
        <v>2018</v>
      </c>
      <c r="E57" s="167">
        <f t="shared" si="13"/>
        <v>703</v>
      </c>
      <c r="F57" s="167">
        <v>169</v>
      </c>
      <c r="G57" s="167">
        <v>534</v>
      </c>
    </row>
    <row r="58" spans="2:7" s="53" customFormat="1" ht="6.95" customHeight="1" x14ac:dyDescent="0.2">
      <c r="B58" s="116"/>
      <c r="C58" s="58"/>
      <c r="D58" s="162"/>
      <c r="E58" s="167"/>
      <c r="F58" s="167"/>
      <c r="G58" s="167"/>
    </row>
    <row r="59" spans="2:7" s="53" customFormat="1" ht="12" customHeight="1" x14ac:dyDescent="0.2">
      <c r="B59" s="111" t="s">
        <v>114</v>
      </c>
      <c r="C59" s="58"/>
      <c r="D59" s="162">
        <v>2016</v>
      </c>
      <c r="E59" s="167">
        <f>SUM(F59:G59)</f>
        <v>2591</v>
      </c>
      <c r="F59" s="167">
        <v>433</v>
      </c>
      <c r="G59" s="167">
        <v>2158</v>
      </c>
    </row>
    <row r="60" spans="2:7" s="53" customFormat="1" ht="12" customHeight="1" x14ac:dyDescent="0.2">
      <c r="B60" s="116"/>
      <c r="C60" s="58"/>
      <c r="D60" s="162">
        <v>2017</v>
      </c>
      <c r="E60" s="167">
        <f t="shared" ref="E60:E61" si="14">SUM(F60:G60)</f>
        <v>1820</v>
      </c>
      <c r="F60" s="167">
        <v>448</v>
      </c>
      <c r="G60" s="167">
        <v>1372</v>
      </c>
    </row>
    <row r="61" spans="2:7" s="53" customFormat="1" ht="12" customHeight="1" x14ac:dyDescent="0.2">
      <c r="B61" s="116"/>
      <c r="C61" s="58"/>
      <c r="D61" s="162">
        <v>2018</v>
      </c>
      <c r="E61" s="167">
        <f t="shared" si="14"/>
        <v>1666</v>
      </c>
      <c r="F61" s="167">
        <v>375</v>
      </c>
      <c r="G61" s="167">
        <v>1291</v>
      </c>
    </row>
    <row r="62" spans="2:7" s="53" customFormat="1" ht="6.95" customHeight="1" x14ac:dyDescent="0.2">
      <c r="B62" s="116"/>
      <c r="C62" s="58"/>
      <c r="D62" s="162"/>
      <c r="E62" s="167"/>
      <c r="F62" s="167"/>
      <c r="G62" s="167"/>
    </row>
    <row r="63" spans="2:7" s="53" customFormat="1" ht="12" customHeight="1" x14ac:dyDescent="0.2">
      <c r="B63" s="111" t="s">
        <v>115</v>
      </c>
      <c r="C63" s="58"/>
      <c r="D63" s="162">
        <v>2016</v>
      </c>
      <c r="E63" s="167">
        <f>SUM(F63:G63)</f>
        <v>1490</v>
      </c>
      <c r="F63" s="167">
        <v>306</v>
      </c>
      <c r="G63" s="164">
        <v>1184</v>
      </c>
    </row>
    <row r="64" spans="2:7" s="53" customFormat="1" ht="12" customHeight="1" x14ac:dyDescent="0.2">
      <c r="B64" s="116"/>
      <c r="C64" s="58"/>
      <c r="D64" s="162">
        <v>2017</v>
      </c>
      <c r="E64" s="167">
        <f t="shared" ref="E64:E65" si="15">SUM(F64:G64)</f>
        <v>1300</v>
      </c>
      <c r="F64" s="167">
        <v>287</v>
      </c>
      <c r="G64" s="167">
        <v>1013</v>
      </c>
    </row>
    <row r="65" spans="1:8" s="53" customFormat="1" ht="12" customHeight="1" x14ac:dyDescent="0.2">
      <c r="B65" s="116"/>
      <c r="C65" s="58"/>
      <c r="D65" s="162">
        <v>2018</v>
      </c>
      <c r="E65" s="167">
        <f t="shared" si="15"/>
        <v>1078</v>
      </c>
      <c r="F65" s="167">
        <v>219</v>
      </c>
      <c r="G65" s="164">
        <v>859</v>
      </c>
    </row>
    <row r="66" spans="1:8" s="53" customFormat="1" ht="6.95" customHeight="1" x14ac:dyDescent="0.2">
      <c r="B66" s="116"/>
      <c r="C66" s="58"/>
      <c r="D66" s="162"/>
      <c r="E66" s="167"/>
      <c r="F66" s="167"/>
      <c r="G66" s="117"/>
    </row>
    <row r="67" spans="1:8" s="53" customFormat="1" ht="12" customHeight="1" x14ac:dyDescent="0.2">
      <c r="B67" s="111" t="s">
        <v>116</v>
      </c>
      <c r="C67" s="58"/>
      <c r="D67" s="162">
        <v>2016</v>
      </c>
      <c r="E67" s="167">
        <f>SUM(F67:G67)</f>
        <v>1904</v>
      </c>
      <c r="F67" s="167">
        <v>280</v>
      </c>
      <c r="G67" s="167">
        <v>1624</v>
      </c>
    </row>
    <row r="68" spans="1:8" s="53" customFormat="1" ht="12" customHeight="1" x14ac:dyDescent="0.2">
      <c r="B68" s="116"/>
      <c r="C68" s="58"/>
      <c r="D68" s="162">
        <v>2017</v>
      </c>
      <c r="E68" s="167">
        <f t="shared" ref="E68:E69" si="16">SUM(F68:G68)</f>
        <v>1611</v>
      </c>
      <c r="F68" s="167">
        <v>220</v>
      </c>
      <c r="G68" s="167">
        <v>1391</v>
      </c>
    </row>
    <row r="69" spans="1:8" s="53" customFormat="1" ht="12" customHeight="1" x14ac:dyDescent="0.2">
      <c r="B69" s="116"/>
      <c r="C69" s="58"/>
      <c r="D69" s="162">
        <v>2018</v>
      </c>
      <c r="E69" s="167">
        <f t="shared" si="16"/>
        <v>1399</v>
      </c>
      <c r="F69" s="167">
        <v>138</v>
      </c>
      <c r="G69" s="167">
        <v>1261</v>
      </c>
    </row>
    <row r="70" spans="1:8" s="53" customFormat="1" ht="6.95" customHeight="1" x14ac:dyDescent="0.2">
      <c r="B70" s="116"/>
      <c r="C70" s="58"/>
      <c r="D70" s="162"/>
      <c r="E70" s="167"/>
      <c r="F70" s="167"/>
      <c r="G70" s="167"/>
    </row>
    <row r="71" spans="1:8" s="53" customFormat="1" ht="12" customHeight="1" x14ac:dyDescent="0.2">
      <c r="B71" s="111" t="s">
        <v>117</v>
      </c>
      <c r="C71" s="58"/>
      <c r="D71" s="162">
        <v>2016</v>
      </c>
      <c r="E71" s="167">
        <f>SUM(F71:G71)</f>
        <v>2077</v>
      </c>
      <c r="F71" s="167">
        <v>370</v>
      </c>
      <c r="G71" s="167">
        <v>1707</v>
      </c>
    </row>
    <row r="72" spans="1:8" s="53" customFormat="1" ht="12" customHeight="1" x14ac:dyDescent="0.2">
      <c r="B72" s="118"/>
      <c r="C72" s="58"/>
      <c r="D72" s="162">
        <v>2017</v>
      </c>
      <c r="E72" s="167">
        <f t="shared" ref="E72:E73" si="17">SUM(F72:G72)</f>
        <v>1465</v>
      </c>
      <c r="F72" s="167">
        <v>278</v>
      </c>
      <c r="G72" s="167">
        <v>1187</v>
      </c>
    </row>
    <row r="73" spans="1:8" s="53" customFormat="1" ht="12" customHeight="1" x14ac:dyDescent="0.2">
      <c r="A73" s="119"/>
      <c r="B73" s="119"/>
      <c r="C73" s="58"/>
      <c r="D73" s="162">
        <v>2018</v>
      </c>
      <c r="E73" s="167">
        <f t="shared" si="17"/>
        <v>1238</v>
      </c>
      <c r="F73" s="167">
        <v>245</v>
      </c>
      <c r="G73" s="167">
        <v>993</v>
      </c>
      <c r="H73" s="119"/>
    </row>
    <row r="74" spans="1:8" ht="6.95" customHeight="1" thickBot="1" x14ac:dyDescent="0.25">
      <c r="A74" s="34"/>
      <c r="B74" s="34"/>
      <c r="C74" s="16"/>
      <c r="D74" s="72"/>
      <c r="E74" s="12"/>
      <c r="F74" s="12"/>
      <c r="G74" s="12"/>
      <c r="H74" s="34"/>
    </row>
    <row r="75" spans="1:8" s="18" customFormat="1" ht="12" x14ac:dyDescent="0.2">
      <c r="B75" s="94"/>
      <c r="C75" s="94"/>
      <c r="D75" s="94"/>
      <c r="E75" s="8"/>
      <c r="F75" s="95"/>
      <c r="G75" s="115" t="s">
        <v>101</v>
      </c>
    </row>
    <row r="76" spans="1:8" s="96" customFormat="1" ht="15" customHeight="1" x14ac:dyDescent="0.2">
      <c r="E76" s="8"/>
      <c r="F76" s="95"/>
      <c r="G76" s="41" t="s">
        <v>1</v>
      </c>
    </row>
    <row r="77" spans="1:8" s="18" customFormat="1" ht="15" customHeight="1" x14ac:dyDescent="0.2">
      <c r="B77" s="98"/>
      <c r="C77" s="98"/>
      <c r="D77" s="98"/>
      <c r="E77" s="8"/>
      <c r="F77" s="95"/>
      <c r="G77" s="95"/>
    </row>
    <row r="78" spans="1:8" s="19" customFormat="1" ht="15" customHeight="1" x14ac:dyDescent="0.2">
      <c r="B78" s="99"/>
      <c r="C78" s="99"/>
      <c r="D78" s="99"/>
      <c r="E78" s="100"/>
      <c r="F78" s="101"/>
      <c r="G78" s="101"/>
    </row>
    <row r="79" spans="1:8" s="19" customFormat="1" ht="12" x14ac:dyDescent="0.2">
      <c r="B79" s="99"/>
      <c r="C79" s="99"/>
      <c r="D79" s="99"/>
      <c r="E79" s="100"/>
      <c r="F79" s="101"/>
      <c r="G79" s="101"/>
    </row>
    <row r="80" spans="1:8" ht="15" customHeight="1" x14ac:dyDescent="0.25"/>
    <row r="91" spans="5:8" s="3" customFormat="1" ht="15" customHeight="1" x14ac:dyDescent="0.25">
      <c r="E91" s="21"/>
      <c r="F91" s="22"/>
      <c r="G91" s="22"/>
      <c r="H91" s="2"/>
    </row>
  </sheetData>
  <mergeCells count="7">
    <mergeCell ref="C6:G6"/>
    <mergeCell ref="E8:E9"/>
    <mergeCell ref="F8:F9"/>
    <mergeCell ref="G8:G9"/>
    <mergeCell ref="E10:G10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9.855468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71"/>
    </row>
    <row r="4" spans="1:8" s="30" customFormat="1" ht="12" customHeight="1" x14ac:dyDescent="0.25">
      <c r="B4" s="27"/>
      <c r="C4" s="27"/>
      <c r="D4" s="27"/>
      <c r="E4" s="28"/>
      <c r="F4" s="29"/>
      <c r="G4" s="71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8" s="53" customFormat="1" ht="33" customHeight="1" thickBot="1" x14ac:dyDescent="0.25">
      <c r="A9" s="348"/>
      <c r="B9" s="464"/>
      <c r="C9" s="464"/>
      <c r="D9" s="458"/>
      <c r="E9" s="458"/>
      <c r="F9" s="460"/>
      <c r="G9" s="460"/>
      <c r="H9" s="344"/>
    </row>
    <row r="10" spans="1:8" ht="8.1" customHeight="1" x14ac:dyDescent="0.2">
      <c r="A10" s="45"/>
      <c r="B10" s="102"/>
      <c r="C10" s="102"/>
      <c r="D10" s="102"/>
      <c r="E10" s="465"/>
      <c r="F10" s="465"/>
      <c r="G10" s="465"/>
      <c r="H10" s="45"/>
    </row>
    <row r="11" spans="1:8" s="105" customFormat="1" ht="15.95" customHeight="1" x14ac:dyDescent="0.2">
      <c r="B11" s="127" t="s">
        <v>118</v>
      </c>
      <c r="C11" s="64"/>
      <c r="D11" s="65">
        <v>2016</v>
      </c>
      <c r="E11" s="166">
        <f>E15+E19+E23+E27+E31+E35+E39</f>
        <v>2494</v>
      </c>
      <c r="F11" s="143">
        <v>407</v>
      </c>
      <c r="G11" s="166">
        <v>2087</v>
      </c>
    </row>
    <row r="12" spans="1:8" s="105" customFormat="1" ht="15.95" customHeight="1" x14ac:dyDescent="0.2">
      <c r="B12" s="131"/>
      <c r="C12" s="64"/>
      <c r="D12" s="65">
        <v>2017</v>
      </c>
      <c r="E12" s="166">
        <f t="shared" ref="E12" si="0">E16+E20+E24+E28+E32+E36+E40</f>
        <v>2257</v>
      </c>
      <c r="F12" s="166">
        <v>354</v>
      </c>
      <c r="G12" s="166">
        <v>1903</v>
      </c>
    </row>
    <row r="13" spans="1:8" s="105" customFormat="1" ht="15.95" customHeight="1" x14ac:dyDescent="0.2">
      <c r="B13" s="131"/>
      <c r="C13" s="64"/>
      <c r="D13" s="65">
        <v>2018</v>
      </c>
      <c r="E13" s="166">
        <f>F13+G13</f>
        <v>1823</v>
      </c>
      <c r="F13" s="143">
        <v>291</v>
      </c>
      <c r="G13" s="143">
        <v>1532</v>
      </c>
    </row>
    <row r="14" spans="1:8" ht="8.1" customHeight="1" x14ac:dyDescent="0.2">
      <c r="A14" s="7"/>
      <c r="B14" s="130"/>
      <c r="C14" s="130"/>
      <c r="D14" s="65"/>
      <c r="E14" s="126"/>
      <c r="F14" s="126"/>
      <c r="G14" s="126"/>
      <c r="H14" s="7"/>
    </row>
    <row r="15" spans="1:8" s="53" customFormat="1" ht="15.95" customHeight="1" x14ac:dyDescent="0.2">
      <c r="B15" s="85" t="s">
        <v>119</v>
      </c>
      <c r="C15" s="64"/>
      <c r="D15" s="162">
        <v>2016</v>
      </c>
      <c r="E15" s="167">
        <f>SUM(F15:G15)</f>
        <v>498</v>
      </c>
      <c r="F15" s="165">
        <v>87</v>
      </c>
      <c r="G15" s="167">
        <v>411</v>
      </c>
    </row>
    <row r="16" spans="1:8" s="53" customFormat="1" ht="15.95" customHeight="1" x14ac:dyDescent="0.2">
      <c r="B16" s="120"/>
      <c r="C16" s="64"/>
      <c r="D16" s="162">
        <v>2017</v>
      </c>
      <c r="E16" s="167">
        <f t="shared" ref="E16:E17" si="1">SUM(F16:G16)</f>
        <v>484</v>
      </c>
      <c r="F16" s="167">
        <v>88</v>
      </c>
      <c r="G16" s="167">
        <v>396</v>
      </c>
    </row>
    <row r="17" spans="2:7" s="53" customFormat="1" ht="15.95" customHeight="1" x14ac:dyDescent="0.2">
      <c r="B17" s="120"/>
      <c r="C17" s="58"/>
      <c r="D17" s="162">
        <v>2018</v>
      </c>
      <c r="E17" s="167">
        <f t="shared" si="1"/>
        <v>367</v>
      </c>
      <c r="F17" s="165">
        <v>65</v>
      </c>
      <c r="G17" s="167">
        <v>302</v>
      </c>
    </row>
    <row r="18" spans="2:7" s="53" customFormat="1" ht="9.9499999999999993" customHeight="1" x14ac:dyDescent="0.2">
      <c r="B18" s="120"/>
      <c r="C18" s="58"/>
      <c r="D18" s="162"/>
      <c r="E18" s="167"/>
      <c r="F18" s="165"/>
      <c r="G18" s="167"/>
    </row>
    <row r="19" spans="2:7" s="53" customFormat="1" ht="15.95" customHeight="1" x14ac:dyDescent="0.2">
      <c r="B19" s="85" t="s">
        <v>120</v>
      </c>
      <c r="C19" s="58"/>
      <c r="D19" s="162">
        <v>2016</v>
      </c>
      <c r="E19" s="167">
        <f>SUM(F19:G19)</f>
        <v>378</v>
      </c>
      <c r="F19" s="167">
        <v>83</v>
      </c>
      <c r="G19" s="167">
        <v>295</v>
      </c>
    </row>
    <row r="20" spans="2:7" s="53" customFormat="1" ht="15.95" customHeight="1" x14ac:dyDescent="0.2">
      <c r="B20" s="120"/>
      <c r="C20" s="58"/>
      <c r="D20" s="162">
        <v>2017</v>
      </c>
      <c r="E20" s="167">
        <f t="shared" ref="E20:E21" si="2">SUM(F20:G20)</f>
        <v>319</v>
      </c>
      <c r="F20" s="167">
        <v>56</v>
      </c>
      <c r="G20" s="167">
        <v>263</v>
      </c>
    </row>
    <row r="21" spans="2:7" s="53" customFormat="1" ht="15.95" customHeight="1" x14ac:dyDescent="0.2">
      <c r="B21" s="120"/>
      <c r="C21" s="58"/>
      <c r="D21" s="162">
        <v>2018</v>
      </c>
      <c r="E21" s="167">
        <f t="shared" si="2"/>
        <v>284</v>
      </c>
      <c r="F21" s="167">
        <v>41</v>
      </c>
      <c r="G21" s="167">
        <v>243</v>
      </c>
    </row>
    <row r="22" spans="2:7" s="53" customFormat="1" ht="9.9499999999999993" customHeight="1" x14ac:dyDescent="0.2">
      <c r="B22" s="120"/>
      <c r="C22" s="58"/>
      <c r="D22" s="162"/>
      <c r="E22" s="167"/>
      <c r="F22" s="167"/>
      <c r="G22" s="167"/>
    </row>
    <row r="23" spans="2:7" s="53" customFormat="1" ht="15.95" customHeight="1" x14ac:dyDescent="0.2">
      <c r="B23" s="85" t="s">
        <v>121</v>
      </c>
      <c r="C23" s="58"/>
      <c r="D23" s="162">
        <v>2016</v>
      </c>
      <c r="E23" s="167">
        <f>SUM(F23:G23)</f>
        <v>155</v>
      </c>
      <c r="F23" s="167">
        <v>26</v>
      </c>
      <c r="G23" s="167">
        <v>129</v>
      </c>
    </row>
    <row r="24" spans="2:7" s="53" customFormat="1" ht="15.95" customHeight="1" x14ac:dyDescent="0.2">
      <c r="B24" s="120"/>
      <c r="C24" s="58"/>
      <c r="D24" s="162">
        <v>2017</v>
      </c>
      <c r="E24" s="167">
        <f t="shared" ref="E24:E25" si="3">SUM(F24:G24)</f>
        <v>143</v>
      </c>
      <c r="F24" s="165">
        <v>20</v>
      </c>
      <c r="G24" s="167">
        <v>123</v>
      </c>
    </row>
    <row r="25" spans="2:7" s="53" customFormat="1" ht="15.95" customHeight="1" x14ac:dyDescent="0.2">
      <c r="B25" s="120"/>
      <c r="C25" s="58"/>
      <c r="D25" s="162">
        <v>2018</v>
      </c>
      <c r="E25" s="167">
        <f t="shared" si="3"/>
        <v>103</v>
      </c>
      <c r="F25" s="167">
        <v>26</v>
      </c>
      <c r="G25" s="167">
        <v>77</v>
      </c>
    </row>
    <row r="26" spans="2:7" s="53" customFormat="1" ht="9.9499999999999993" customHeight="1" x14ac:dyDescent="0.2">
      <c r="B26" s="120"/>
      <c r="C26" s="58"/>
      <c r="D26" s="162"/>
      <c r="E26" s="167"/>
      <c r="F26" s="167"/>
      <c r="G26" s="167"/>
    </row>
    <row r="27" spans="2:7" s="53" customFormat="1" ht="15.95" customHeight="1" x14ac:dyDescent="0.2">
      <c r="B27" s="85" t="s">
        <v>122</v>
      </c>
      <c r="C27" s="58"/>
      <c r="D27" s="162">
        <v>2016</v>
      </c>
      <c r="E27" s="167">
        <f>SUM(F27:G27)</f>
        <v>413</v>
      </c>
      <c r="F27" s="167">
        <v>56</v>
      </c>
      <c r="G27" s="167">
        <v>357</v>
      </c>
    </row>
    <row r="28" spans="2:7" s="53" customFormat="1" ht="15.95" customHeight="1" x14ac:dyDescent="0.2">
      <c r="B28" s="120"/>
      <c r="C28" s="58"/>
      <c r="D28" s="162">
        <v>2017</v>
      </c>
      <c r="E28" s="167">
        <f t="shared" ref="E28:E29" si="4">SUM(F28:G28)</f>
        <v>329</v>
      </c>
      <c r="F28" s="167">
        <v>43</v>
      </c>
      <c r="G28" s="167">
        <v>286</v>
      </c>
    </row>
    <row r="29" spans="2:7" s="53" customFormat="1" ht="15.95" customHeight="1" x14ac:dyDescent="0.2">
      <c r="B29" s="120"/>
      <c r="C29" s="58"/>
      <c r="D29" s="162">
        <v>2018</v>
      </c>
      <c r="E29" s="167">
        <f t="shared" si="4"/>
        <v>274</v>
      </c>
      <c r="F29" s="167">
        <v>48</v>
      </c>
      <c r="G29" s="167">
        <v>226</v>
      </c>
    </row>
    <row r="30" spans="2:7" s="53" customFormat="1" ht="9.9499999999999993" customHeight="1" x14ac:dyDescent="0.2">
      <c r="B30" s="120"/>
      <c r="C30" s="58"/>
      <c r="D30" s="162"/>
      <c r="E30" s="167"/>
      <c r="F30" s="167"/>
      <c r="G30" s="167"/>
    </row>
    <row r="31" spans="2:7" s="53" customFormat="1" ht="15.95" customHeight="1" x14ac:dyDescent="0.2">
      <c r="B31" s="85" t="s">
        <v>123</v>
      </c>
      <c r="C31" s="58"/>
      <c r="D31" s="162">
        <v>2016</v>
      </c>
      <c r="E31" s="167">
        <f>SUM(F31:G31)</f>
        <v>751</v>
      </c>
      <c r="F31" s="167">
        <v>99</v>
      </c>
      <c r="G31" s="167">
        <v>652</v>
      </c>
    </row>
    <row r="32" spans="2:7" s="53" customFormat="1" ht="15.95" customHeight="1" x14ac:dyDescent="0.2">
      <c r="B32" s="120"/>
      <c r="C32" s="58"/>
      <c r="D32" s="162">
        <v>2017</v>
      </c>
      <c r="E32" s="167">
        <f t="shared" ref="E32:E33" si="5">SUM(F32:G32)</f>
        <v>701</v>
      </c>
      <c r="F32" s="167">
        <v>97</v>
      </c>
      <c r="G32" s="167">
        <v>604</v>
      </c>
    </row>
    <row r="33" spans="1:8" s="53" customFormat="1" ht="15.95" customHeight="1" x14ac:dyDescent="0.2">
      <c r="B33" s="120"/>
      <c r="C33" s="58"/>
      <c r="D33" s="162">
        <v>2018</v>
      </c>
      <c r="E33" s="167">
        <f t="shared" si="5"/>
        <v>548</v>
      </c>
      <c r="F33" s="167">
        <v>61</v>
      </c>
      <c r="G33" s="167">
        <v>487</v>
      </c>
    </row>
    <row r="34" spans="1:8" s="53" customFormat="1" ht="9.9499999999999993" customHeight="1" x14ac:dyDescent="0.2">
      <c r="B34" s="120"/>
      <c r="C34" s="58"/>
      <c r="D34" s="162"/>
      <c r="E34" s="167"/>
      <c r="F34" s="167"/>
      <c r="G34" s="167"/>
    </row>
    <row r="35" spans="1:8" s="53" customFormat="1" ht="15.95" customHeight="1" x14ac:dyDescent="0.2">
      <c r="B35" s="85" t="s">
        <v>124</v>
      </c>
      <c r="C35" s="58"/>
      <c r="D35" s="162">
        <v>2016</v>
      </c>
      <c r="E35" s="167">
        <f>SUM(F35:G35)</f>
        <v>190</v>
      </c>
      <c r="F35" s="167">
        <v>42</v>
      </c>
      <c r="G35" s="167">
        <v>148</v>
      </c>
    </row>
    <row r="36" spans="1:8" s="53" customFormat="1" ht="15.95" customHeight="1" x14ac:dyDescent="0.2">
      <c r="B36" s="120"/>
      <c r="C36" s="58"/>
      <c r="D36" s="162">
        <v>2017</v>
      </c>
      <c r="E36" s="167">
        <f t="shared" ref="E36:E37" si="6">SUM(F36:G36)</f>
        <v>172</v>
      </c>
      <c r="F36" s="167">
        <v>29</v>
      </c>
      <c r="G36" s="167">
        <v>143</v>
      </c>
    </row>
    <row r="37" spans="1:8" s="53" customFormat="1" ht="15.95" customHeight="1" x14ac:dyDescent="0.2">
      <c r="B37" s="120"/>
      <c r="C37" s="58"/>
      <c r="D37" s="162">
        <v>2018</v>
      </c>
      <c r="E37" s="167">
        <f t="shared" si="6"/>
        <v>140</v>
      </c>
      <c r="F37" s="167">
        <v>26</v>
      </c>
      <c r="G37" s="167">
        <v>114</v>
      </c>
    </row>
    <row r="38" spans="1:8" s="53" customFormat="1" ht="9.9499999999999993" customHeight="1" x14ac:dyDescent="0.2">
      <c r="B38" s="120"/>
      <c r="C38" s="58"/>
      <c r="D38" s="162"/>
      <c r="E38" s="167"/>
      <c r="F38" s="167"/>
      <c r="G38" s="167"/>
    </row>
    <row r="39" spans="1:8" s="53" customFormat="1" ht="15.95" customHeight="1" x14ac:dyDescent="0.2">
      <c r="B39" s="85" t="s">
        <v>125</v>
      </c>
      <c r="C39" s="58"/>
      <c r="D39" s="162">
        <v>2016</v>
      </c>
      <c r="E39" s="167">
        <f>SUM(F39:G39)</f>
        <v>109</v>
      </c>
      <c r="F39" s="165">
        <v>14</v>
      </c>
      <c r="G39" s="167">
        <v>95</v>
      </c>
    </row>
    <row r="40" spans="1:8" s="53" customFormat="1" ht="15.95" customHeight="1" x14ac:dyDescent="0.2">
      <c r="B40" s="118"/>
      <c r="C40" s="58"/>
      <c r="D40" s="162">
        <v>2017</v>
      </c>
      <c r="E40" s="167">
        <f t="shared" ref="E40:E41" si="7">SUM(F40:G40)</f>
        <v>109</v>
      </c>
      <c r="F40" s="167">
        <v>21</v>
      </c>
      <c r="G40" s="167">
        <v>88</v>
      </c>
    </row>
    <row r="41" spans="1:8" s="53" customFormat="1" ht="15.95" customHeight="1" x14ac:dyDescent="0.2">
      <c r="A41" s="119"/>
      <c r="B41" s="119"/>
      <c r="C41" s="58"/>
      <c r="D41" s="162">
        <v>2018</v>
      </c>
      <c r="E41" s="167">
        <f t="shared" si="7"/>
        <v>107</v>
      </c>
      <c r="F41" s="165">
        <v>24</v>
      </c>
      <c r="G41" s="167">
        <v>83</v>
      </c>
      <c r="H41" s="119"/>
    </row>
    <row r="42" spans="1:8" ht="8.1" customHeight="1" thickBot="1" x14ac:dyDescent="0.25">
      <c r="A42" s="34"/>
      <c r="B42" s="34"/>
      <c r="C42" s="16"/>
      <c r="D42" s="134"/>
      <c r="E42" s="12"/>
      <c r="F42" s="33"/>
      <c r="G42" s="12"/>
      <c r="H42" s="34"/>
    </row>
    <row r="43" spans="1:8" x14ac:dyDescent="0.25">
      <c r="D43" s="133"/>
      <c r="G43" s="115" t="s">
        <v>101</v>
      </c>
    </row>
    <row r="44" spans="1:8" x14ac:dyDescent="0.25">
      <c r="D44" s="133"/>
      <c r="G44" s="41" t="s">
        <v>1</v>
      </c>
    </row>
    <row r="45" spans="1:8" s="37" customFormat="1" x14ac:dyDescent="0.25">
      <c r="B45" s="38"/>
      <c r="C45" s="43"/>
      <c r="D45" s="43"/>
      <c r="F45" s="97"/>
      <c r="G45" s="97"/>
    </row>
    <row r="46" spans="1:8" s="37" customFormat="1" x14ac:dyDescent="0.25">
      <c r="B46" s="44"/>
      <c r="C46" s="43"/>
      <c r="D46" s="43"/>
      <c r="F46" s="97"/>
      <c r="G46" s="97"/>
    </row>
    <row r="47" spans="1:8" x14ac:dyDescent="0.25">
      <c r="D47" s="133"/>
    </row>
    <row r="48" spans="1:8" x14ac:dyDescent="0.25">
      <c r="D48" s="133"/>
    </row>
    <row r="49" spans="4:4" x14ac:dyDescent="0.25">
      <c r="D49" s="133"/>
    </row>
    <row r="50" spans="4:4" x14ac:dyDescent="0.25">
      <c r="D50" s="133"/>
    </row>
    <row r="51" spans="4:4" x14ac:dyDescent="0.25">
      <c r="D51" s="133"/>
    </row>
    <row r="52" spans="4:4" x14ac:dyDescent="0.25">
      <c r="D52" s="133"/>
    </row>
    <row r="53" spans="4:4" x14ac:dyDescent="0.25">
      <c r="D53" s="133"/>
    </row>
    <row r="54" spans="4:4" x14ac:dyDescent="0.25">
      <c r="D54" s="133"/>
    </row>
    <row r="55" spans="4:4" x14ac:dyDescent="0.25">
      <c r="D55" s="133"/>
    </row>
    <row r="56" spans="4:4" x14ac:dyDescent="0.25">
      <c r="D56" s="133"/>
    </row>
    <row r="57" spans="4:4" x14ac:dyDescent="0.25">
      <c r="D57" s="133"/>
    </row>
    <row r="58" spans="4:4" x14ac:dyDescent="0.25">
      <c r="D58" s="133"/>
    </row>
    <row r="59" spans="4:4" x14ac:dyDescent="0.25">
      <c r="D59" s="133"/>
    </row>
    <row r="60" spans="4:4" x14ac:dyDescent="0.25">
      <c r="D60" s="133"/>
    </row>
    <row r="61" spans="4:4" x14ac:dyDescent="0.25">
      <c r="D61" s="133"/>
    </row>
    <row r="62" spans="4:4" x14ac:dyDescent="0.25">
      <c r="D62" s="133"/>
    </row>
    <row r="63" spans="4:4" x14ac:dyDescent="0.25">
      <c r="D63" s="133"/>
    </row>
    <row r="64" spans="4:4" x14ac:dyDescent="0.25">
      <c r="D64" s="133"/>
    </row>
    <row r="65" spans="4:4" x14ac:dyDescent="0.25">
      <c r="D65" s="133"/>
    </row>
    <row r="66" spans="4:4" x14ac:dyDescent="0.25">
      <c r="D66" s="133"/>
    </row>
    <row r="67" spans="4:4" x14ac:dyDescent="0.25">
      <c r="D67" s="133"/>
    </row>
    <row r="68" spans="4:4" x14ac:dyDescent="0.25">
      <c r="D68" s="133"/>
    </row>
    <row r="69" spans="4:4" x14ac:dyDescent="0.25">
      <c r="D69" s="133"/>
    </row>
  </sheetData>
  <mergeCells count="7">
    <mergeCell ref="C6:G6"/>
    <mergeCell ref="E8:E9"/>
    <mergeCell ref="F8:F9"/>
    <mergeCell ref="G8:G9"/>
    <mergeCell ref="E10:G10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tabSelected="1" topLeftCell="A4" zoomScale="90" zoomScaleNormal="9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1.140625" style="3" customWidth="1"/>
    <col min="3" max="4" width="14.5703125" style="3" customWidth="1"/>
    <col min="5" max="5" width="15.7109375" style="4" customWidth="1"/>
    <col min="6" max="7" width="22.85546875" style="5" customWidth="1"/>
    <col min="8" max="8" width="0.85546875" style="2" customWidth="1"/>
    <col min="9" max="16384" width="9.140625" style="2"/>
  </cols>
  <sheetData>
    <row r="1" spans="1:12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12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12" s="30" customFormat="1" ht="12" customHeight="1" x14ac:dyDescent="0.25">
      <c r="B3" s="27"/>
      <c r="C3" s="27"/>
      <c r="D3" s="27"/>
      <c r="E3" s="28"/>
      <c r="F3" s="29"/>
      <c r="G3" s="71"/>
    </row>
    <row r="4" spans="1:12" s="30" customFormat="1" ht="12" customHeight="1" x14ac:dyDescent="0.25">
      <c r="B4" s="27"/>
      <c r="C4" s="27"/>
      <c r="D4" s="27"/>
      <c r="E4" s="28"/>
      <c r="F4" s="29"/>
      <c r="G4" s="71"/>
    </row>
    <row r="5" spans="1:12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12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12" ht="9.9499999999999993" customHeight="1" thickBot="1" x14ac:dyDescent="0.3">
      <c r="E7" s="21"/>
      <c r="F7" s="22"/>
      <c r="G7" s="22"/>
    </row>
    <row r="8" spans="1:12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12" s="53" customFormat="1" ht="33" customHeight="1" x14ac:dyDescent="0.2">
      <c r="A9" s="348"/>
      <c r="B9" s="464"/>
      <c r="C9" s="464"/>
      <c r="D9" s="458"/>
      <c r="E9" s="458"/>
      <c r="F9" s="460"/>
      <c r="G9" s="460"/>
      <c r="H9" s="344"/>
    </row>
    <row r="10" spans="1:12" s="6" customFormat="1" ht="8.1" customHeight="1" x14ac:dyDescent="0.25">
      <c r="B10" s="13"/>
      <c r="C10" s="13"/>
      <c r="D10" s="13"/>
      <c r="E10" s="52"/>
      <c r="F10" s="52"/>
      <c r="G10" s="1"/>
      <c r="J10" s="42"/>
      <c r="L10" s="42"/>
    </row>
    <row r="11" spans="1:12" s="53" customFormat="1" ht="17.100000000000001" customHeight="1" x14ac:dyDescent="0.2">
      <c r="B11" s="64" t="s">
        <v>177</v>
      </c>
      <c r="C11" s="64"/>
      <c r="D11" s="112">
        <v>2016</v>
      </c>
      <c r="E11" s="121">
        <f>E15+E19+E23+E27+E31+E35</f>
        <v>16989</v>
      </c>
      <c r="F11" s="121">
        <v>3776</v>
      </c>
      <c r="G11" s="121">
        <v>13213</v>
      </c>
    </row>
    <row r="12" spans="1:12" s="53" customFormat="1" ht="17.100000000000001" customHeight="1" x14ac:dyDescent="0.2">
      <c r="B12" s="64"/>
      <c r="C12" s="64"/>
      <c r="D12" s="112">
        <v>2017</v>
      </c>
      <c r="E12" s="121">
        <f t="shared" ref="E12" si="0">E16+E20+E24+E28+E32+E36</f>
        <v>13482</v>
      </c>
      <c r="F12" s="121">
        <v>3999</v>
      </c>
      <c r="G12" s="121">
        <v>9483</v>
      </c>
    </row>
    <row r="13" spans="1:12" s="105" customFormat="1" ht="17.100000000000001" customHeight="1" x14ac:dyDescent="0.2">
      <c r="B13" s="64"/>
      <c r="C13" s="64"/>
      <c r="D13" s="112">
        <v>2018</v>
      </c>
      <c r="E13" s="121">
        <f>F13+G13</f>
        <v>12127</v>
      </c>
      <c r="F13" s="121">
        <v>3137</v>
      </c>
      <c r="G13" s="121">
        <v>8990</v>
      </c>
      <c r="J13" s="123"/>
    </row>
    <row r="14" spans="1:12" s="105" customFormat="1" ht="8.1" customHeight="1" x14ac:dyDescent="0.2">
      <c r="B14" s="64"/>
      <c r="C14" s="64"/>
      <c r="D14" s="112"/>
      <c r="E14" s="121"/>
      <c r="F14" s="121"/>
      <c r="G14" s="121"/>
      <c r="J14" s="123"/>
    </row>
    <row r="15" spans="1:12" s="53" customFormat="1" ht="17.100000000000001" customHeight="1" x14ac:dyDescent="0.2">
      <c r="B15" s="58" t="s">
        <v>81</v>
      </c>
      <c r="C15" s="58"/>
      <c r="D15" s="111">
        <v>2016</v>
      </c>
      <c r="E15" s="167">
        <f>SUM(F15:G15)</f>
        <v>2754</v>
      </c>
      <c r="F15" s="167">
        <v>609</v>
      </c>
      <c r="G15" s="167">
        <v>2145</v>
      </c>
    </row>
    <row r="16" spans="1:12" s="53" customFormat="1" ht="17.100000000000001" customHeight="1" x14ac:dyDescent="0.2">
      <c r="B16" s="58"/>
      <c r="C16" s="58"/>
      <c r="D16" s="111">
        <v>2017</v>
      </c>
      <c r="E16" s="167">
        <f t="shared" ref="E16:E17" si="1">SUM(F16:G16)</f>
        <v>2020</v>
      </c>
      <c r="F16" s="167">
        <v>579</v>
      </c>
      <c r="G16" s="167">
        <v>1441</v>
      </c>
    </row>
    <row r="17" spans="2:10" s="105" customFormat="1" ht="17.100000000000001" customHeight="1" x14ac:dyDescent="0.2">
      <c r="B17" s="58"/>
      <c r="C17" s="58"/>
      <c r="D17" s="111">
        <v>2018</v>
      </c>
      <c r="E17" s="167">
        <f t="shared" si="1"/>
        <v>1915</v>
      </c>
      <c r="F17" s="167">
        <v>418</v>
      </c>
      <c r="G17" s="167">
        <v>1497</v>
      </c>
      <c r="J17" s="123"/>
    </row>
    <row r="18" spans="2:10" s="105" customFormat="1" ht="8.1" customHeight="1" x14ac:dyDescent="0.2">
      <c r="B18" s="58"/>
      <c r="C18" s="58"/>
      <c r="D18" s="111"/>
      <c r="E18" s="122"/>
      <c r="F18" s="122"/>
      <c r="G18" s="122"/>
      <c r="J18" s="123"/>
    </row>
    <row r="19" spans="2:10" s="53" customFormat="1" ht="17.100000000000001" customHeight="1" x14ac:dyDescent="0.2">
      <c r="B19" s="58" t="s">
        <v>82</v>
      </c>
      <c r="C19" s="58"/>
      <c r="D19" s="111">
        <v>2016</v>
      </c>
      <c r="E19" s="167">
        <f>SUM(F19:G19)</f>
        <v>2493</v>
      </c>
      <c r="F19" s="167">
        <v>458</v>
      </c>
      <c r="G19" s="167">
        <v>2035</v>
      </c>
    </row>
    <row r="20" spans="2:10" s="118" customFormat="1" ht="17.100000000000001" customHeight="1" x14ac:dyDescent="0.2">
      <c r="B20" s="58"/>
      <c r="C20" s="58"/>
      <c r="D20" s="111">
        <v>2017</v>
      </c>
      <c r="E20" s="167">
        <f t="shared" ref="E20:E21" si="2">SUM(F20:G20)</f>
        <v>1942</v>
      </c>
      <c r="F20" s="167">
        <v>472</v>
      </c>
      <c r="G20" s="167">
        <v>1470</v>
      </c>
      <c r="H20" s="53"/>
    </row>
    <row r="21" spans="2:10" s="105" customFormat="1" ht="17.100000000000001" customHeight="1" x14ac:dyDescent="0.2">
      <c r="B21" s="58"/>
      <c r="C21" s="58"/>
      <c r="D21" s="111">
        <v>2018</v>
      </c>
      <c r="E21" s="167">
        <f t="shared" si="2"/>
        <v>1649</v>
      </c>
      <c r="F21" s="167">
        <v>279</v>
      </c>
      <c r="G21" s="167">
        <v>1370</v>
      </c>
      <c r="J21" s="123"/>
    </row>
    <row r="22" spans="2:10" s="105" customFormat="1" ht="8.1" customHeight="1" x14ac:dyDescent="0.2">
      <c r="B22" s="58"/>
      <c r="C22" s="58"/>
      <c r="D22" s="111"/>
      <c r="E22" s="122"/>
      <c r="F22" s="122"/>
      <c r="G22" s="122"/>
      <c r="J22" s="123"/>
    </row>
    <row r="23" spans="2:10" s="53" customFormat="1" ht="17.100000000000001" customHeight="1" x14ac:dyDescent="0.2">
      <c r="B23" s="58" t="s">
        <v>83</v>
      </c>
      <c r="C23" s="58"/>
      <c r="D23" s="111">
        <v>2016</v>
      </c>
      <c r="E23" s="167">
        <f>SUM(F23:G23)</f>
        <v>4372</v>
      </c>
      <c r="F23" s="167">
        <v>1061</v>
      </c>
      <c r="G23" s="167">
        <v>3311</v>
      </c>
    </row>
    <row r="24" spans="2:10" s="53" customFormat="1" ht="17.100000000000001" customHeight="1" x14ac:dyDescent="0.2">
      <c r="B24" s="58"/>
      <c r="C24" s="58"/>
      <c r="D24" s="111">
        <v>2017</v>
      </c>
      <c r="E24" s="167">
        <f t="shared" ref="E24:E25" si="3">SUM(F24:G24)</f>
        <v>3606</v>
      </c>
      <c r="F24" s="167">
        <v>1352</v>
      </c>
      <c r="G24" s="167">
        <v>2254</v>
      </c>
    </row>
    <row r="25" spans="2:10" s="105" customFormat="1" ht="17.100000000000001" customHeight="1" x14ac:dyDescent="0.2">
      <c r="B25" s="58"/>
      <c r="C25" s="58"/>
      <c r="D25" s="111">
        <v>2018</v>
      </c>
      <c r="E25" s="167">
        <f t="shared" si="3"/>
        <v>3516</v>
      </c>
      <c r="F25" s="167">
        <v>1354</v>
      </c>
      <c r="G25" s="167">
        <v>2162</v>
      </c>
      <c r="J25" s="123"/>
    </row>
    <row r="26" spans="2:10" s="105" customFormat="1" ht="8.1" customHeight="1" x14ac:dyDescent="0.2">
      <c r="B26" s="58"/>
      <c r="C26" s="58"/>
      <c r="D26" s="111"/>
      <c r="E26" s="122"/>
      <c r="F26" s="122"/>
      <c r="G26" s="122"/>
      <c r="J26" s="123"/>
    </row>
    <row r="27" spans="2:10" s="53" customFormat="1" ht="17.100000000000001" customHeight="1" x14ac:dyDescent="0.2">
      <c r="B27" s="58" t="s">
        <v>84</v>
      </c>
      <c r="C27" s="58"/>
      <c r="D27" s="111">
        <v>2016</v>
      </c>
      <c r="E27" s="167">
        <f>SUM(F27:G27)</f>
        <v>2925</v>
      </c>
      <c r="F27" s="167">
        <v>228</v>
      </c>
      <c r="G27" s="167">
        <v>2697</v>
      </c>
    </row>
    <row r="28" spans="2:10" s="53" customFormat="1" ht="17.100000000000001" customHeight="1" x14ac:dyDescent="0.2">
      <c r="B28" s="58"/>
      <c r="C28" s="58"/>
      <c r="D28" s="111">
        <v>2017</v>
      </c>
      <c r="E28" s="167">
        <f t="shared" ref="E28:E29" si="4">SUM(F28:G28)</f>
        <v>2314</v>
      </c>
      <c r="F28" s="167">
        <v>251</v>
      </c>
      <c r="G28" s="167">
        <v>2063</v>
      </c>
    </row>
    <row r="29" spans="2:10" s="105" customFormat="1" ht="17.100000000000001" customHeight="1" x14ac:dyDescent="0.2">
      <c r="B29" s="58"/>
      <c r="C29" s="58"/>
      <c r="D29" s="111">
        <v>2018</v>
      </c>
      <c r="E29" s="167">
        <f t="shared" si="4"/>
        <v>2058</v>
      </c>
      <c r="F29" s="167">
        <v>208</v>
      </c>
      <c r="G29" s="167">
        <v>1850</v>
      </c>
      <c r="J29" s="123"/>
    </row>
    <row r="30" spans="2:10" s="105" customFormat="1" ht="8.1" customHeight="1" x14ac:dyDescent="0.2">
      <c r="B30" s="58"/>
      <c r="C30" s="58"/>
      <c r="D30" s="111"/>
      <c r="E30" s="122"/>
      <c r="F30" s="122"/>
      <c r="G30" s="122"/>
      <c r="J30" s="123"/>
    </row>
    <row r="31" spans="2:10" s="53" customFormat="1" ht="17.100000000000001" customHeight="1" x14ac:dyDescent="0.2">
      <c r="B31" s="58" t="s">
        <v>85</v>
      </c>
      <c r="C31" s="58"/>
      <c r="D31" s="111">
        <v>2016</v>
      </c>
      <c r="E31" s="167">
        <f>SUM(F31:G31)</f>
        <v>3607</v>
      </c>
      <c r="F31" s="167">
        <v>845</v>
      </c>
      <c r="G31" s="167">
        <v>2762</v>
      </c>
    </row>
    <row r="32" spans="2:10" s="53" customFormat="1" ht="17.100000000000001" customHeight="1" x14ac:dyDescent="0.2">
      <c r="B32" s="58"/>
      <c r="C32" s="88"/>
      <c r="D32" s="111">
        <v>2017</v>
      </c>
      <c r="E32" s="167">
        <f t="shared" ref="E32:E33" si="5">SUM(F32:G32)</f>
        <v>2737</v>
      </c>
      <c r="F32" s="167">
        <v>718</v>
      </c>
      <c r="G32" s="167">
        <v>2019</v>
      </c>
    </row>
    <row r="33" spans="1:10" s="105" customFormat="1" ht="17.100000000000001" customHeight="1" x14ac:dyDescent="0.2">
      <c r="B33" s="58"/>
      <c r="C33" s="88"/>
      <c r="D33" s="111">
        <v>2018</v>
      </c>
      <c r="E33" s="167">
        <f t="shared" si="5"/>
        <v>2494</v>
      </c>
      <c r="F33" s="167">
        <v>578</v>
      </c>
      <c r="G33" s="167">
        <v>1916</v>
      </c>
      <c r="J33" s="123"/>
    </row>
    <row r="34" spans="1:10" s="105" customFormat="1" ht="8.1" customHeight="1" x14ac:dyDescent="0.2">
      <c r="B34" s="58"/>
      <c r="C34" s="88"/>
      <c r="D34" s="111"/>
      <c r="E34" s="122"/>
      <c r="F34" s="122"/>
      <c r="G34" s="122"/>
      <c r="J34" s="123"/>
    </row>
    <row r="35" spans="1:10" s="53" customFormat="1" ht="17.100000000000001" customHeight="1" x14ac:dyDescent="0.2">
      <c r="B35" s="58" t="s">
        <v>86</v>
      </c>
      <c r="C35" s="58"/>
      <c r="D35" s="111">
        <v>2016</v>
      </c>
      <c r="E35" s="167">
        <f>SUM(F35:G35)</f>
        <v>838</v>
      </c>
      <c r="F35" s="167">
        <v>575</v>
      </c>
      <c r="G35" s="167">
        <v>263</v>
      </c>
    </row>
    <row r="36" spans="1:10" s="53" customFormat="1" ht="17.100000000000001" customHeight="1" x14ac:dyDescent="0.2">
      <c r="B36" s="58"/>
      <c r="C36" s="88"/>
      <c r="D36" s="111">
        <v>2017</v>
      </c>
      <c r="E36" s="167">
        <f t="shared" ref="E36:E37" si="6">SUM(F36:G36)</f>
        <v>863</v>
      </c>
      <c r="F36" s="167">
        <v>627</v>
      </c>
      <c r="G36" s="167">
        <v>236</v>
      </c>
    </row>
    <row r="37" spans="1:10" s="105" customFormat="1" ht="17.100000000000001" customHeight="1" x14ac:dyDescent="0.2">
      <c r="B37" s="58"/>
      <c r="C37" s="88"/>
      <c r="D37" s="111">
        <v>2018</v>
      </c>
      <c r="E37" s="167">
        <f t="shared" si="6"/>
        <v>495</v>
      </c>
      <c r="F37" s="167">
        <v>300</v>
      </c>
      <c r="G37" s="167">
        <v>195</v>
      </c>
      <c r="J37" s="123"/>
    </row>
    <row r="38" spans="1:10" s="24" customFormat="1" ht="8.1" customHeight="1" thickBot="1" x14ac:dyDescent="0.3">
      <c r="A38" s="103"/>
      <c r="B38" s="32"/>
      <c r="C38" s="32"/>
      <c r="D38" s="132"/>
      <c r="E38" s="12"/>
      <c r="F38" s="12"/>
      <c r="G38" s="12"/>
    </row>
    <row r="39" spans="1:10" x14ac:dyDescent="0.25">
      <c r="D39" s="133"/>
      <c r="G39" s="8" t="s">
        <v>101</v>
      </c>
    </row>
    <row r="40" spans="1:10" x14ac:dyDescent="0.25">
      <c r="D40" s="133"/>
      <c r="G40" s="41" t="s">
        <v>1</v>
      </c>
    </row>
    <row r="41" spans="1:10" x14ac:dyDescent="0.25">
      <c r="D41" s="133"/>
    </row>
    <row r="42" spans="1:10" x14ac:dyDescent="0.25">
      <c r="B42" s="38"/>
      <c r="C42" s="43"/>
      <c r="D42" s="133"/>
    </row>
    <row r="43" spans="1:10" x14ac:dyDescent="0.25">
      <c r="B43" s="44"/>
      <c r="C43" s="43"/>
      <c r="D43" s="133"/>
    </row>
    <row r="44" spans="1:10" x14ac:dyDescent="0.25">
      <c r="D44" s="133"/>
    </row>
    <row r="45" spans="1:10" x14ac:dyDescent="0.25">
      <c r="D45" s="133"/>
    </row>
    <row r="46" spans="1:10" x14ac:dyDescent="0.25">
      <c r="D46" s="133"/>
    </row>
    <row r="47" spans="1:10" x14ac:dyDescent="0.25">
      <c r="D47" s="133"/>
    </row>
    <row r="48" spans="1:10" x14ac:dyDescent="0.25">
      <c r="D48" s="133"/>
    </row>
    <row r="49" spans="4:4" x14ac:dyDescent="0.25">
      <c r="D49" s="133"/>
    </row>
    <row r="50" spans="4:4" x14ac:dyDescent="0.25">
      <c r="D50" s="133"/>
    </row>
    <row r="51" spans="4:4" x14ac:dyDescent="0.25">
      <c r="D51" s="133"/>
    </row>
    <row r="52" spans="4:4" x14ac:dyDescent="0.25">
      <c r="D52" s="133"/>
    </row>
    <row r="53" spans="4:4" x14ac:dyDescent="0.25">
      <c r="D53" s="133"/>
    </row>
    <row r="54" spans="4:4" x14ac:dyDescent="0.25">
      <c r="D54" s="133"/>
    </row>
    <row r="55" spans="4:4" x14ac:dyDescent="0.25">
      <c r="D55" s="133"/>
    </row>
    <row r="56" spans="4:4" x14ac:dyDescent="0.25">
      <c r="D56" s="133"/>
    </row>
    <row r="57" spans="4:4" x14ac:dyDescent="0.25">
      <c r="D57" s="133"/>
    </row>
    <row r="58" spans="4:4" x14ac:dyDescent="0.25">
      <c r="D58" s="133"/>
    </row>
    <row r="59" spans="4:4" x14ac:dyDescent="0.25">
      <c r="D59" s="133"/>
    </row>
    <row r="60" spans="4:4" x14ac:dyDescent="0.25">
      <c r="D60" s="133"/>
    </row>
    <row r="61" spans="4:4" x14ac:dyDescent="0.25">
      <c r="D61" s="133"/>
    </row>
    <row r="62" spans="4:4" x14ac:dyDescent="0.25">
      <c r="D62" s="133"/>
    </row>
    <row r="63" spans="4:4" x14ac:dyDescent="0.25">
      <c r="D63" s="133"/>
    </row>
    <row r="64" spans="4:4" x14ac:dyDescent="0.25">
      <c r="D64" s="133"/>
    </row>
    <row r="65" spans="4:4" x14ac:dyDescent="0.25">
      <c r="D65" s="133"/>
    </row>
    <row r="66" spans="4:4" x14ac:dyDescent="0.25">
      <c r="D66" s="133"/>
    </row>
    <row r="67" spans="4:4" x14ac:dyDescent="0.25">
      <c r="D67" s="133"/>
    </row>
    <row r="68" spans="4:4" x14ac:dyDescent="0.25">
      <c r="D68" s="133"/>
    </row>
    <row r="69" spans="4:4" x14ac:dyDescent="0.25">
      <c r="D69" s="133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8"/>
  <sheetViews>
    <sheetView showGridLines="0" tabSelected="1" topLeftCell="A50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28515625" style="30" customWidth="1"/>
    <col min="2" max="2" width="9.85546875" style="27" customWidth="1"/>
    <col min="3" max="3" width="13.7109375" style="27" customWidth="1"/>
    <col min="4" max="4" width="7.5703125" style="27" customWidth="1"/>
    <col min="5" max="5" width="10.7109375" style="28" customWidth="1"/>
    <col min="6" max="8" width="10.7109375" style="29" customWidth="1"/>
    <col min="9" max="9" width="14.85546875" style="29" customWidth="1"/>
    <col min="10" max="10" width="1.7109375" style="29" customWidth="1"/>
    <col min="11" max="11" width="10.7109375" style="29" customWidth="1"/>
    <col min="12" max="12" width="14.85546875" style="29" customWidth="1"/>
    <col min="13" max="13" width="14.42578125" style="192" customWidth="1"/>
    <col min="14" max="14" width="0.85546875" style="30" customWidth="1"/>
    <col min="15" max="16384" width="9.140625" style="30"/>
  </cols>
  <sheetData>
    <row r="1" spans="1:14" ht="12" customHeight="1" x14ac:dyDescent="0.25">
      <c r="E1" s="27"/>
      <c r="F1" s="28"/>
      <c r="H1" s="30"/>
      <c r="I1" s="30"/>
      <c r="J1" s="30"/>
      <c r="K1" s="30"/>
      <c r="L1" s="30"/>
      <c r="M1" s="181" t="s">
        <v>182</v>
      </c>
    </row>
    <row r="2" spans="1:14" ht="12" customHeight="1" x14ac:dyDescent="0.25">
      <c r="E2" s="27"/>
      <c r="F2" s="28"/>
      <c r="H2" s="30"/>
      <c r="I2" s="30"/>
      <c r="J2" s="30"/>
      <c r="K2" s="30"/>
      <c r="L2" s="30"/>
      <c r="M2" s="71" t="s">
        <v>183</v>
      </c>
    </row>
    <row r="3" spans="1:14" ht="12" customHeight="1" x14ac:dyDescent="0.25">
      <c r="E3" s="27"/>
      <c r="F3" s="28"/>
      <c r="H3" s="71"/>
      <c r="I3" s="71"/>
      <c r="J3" s="71"/>
      <c r="K3" s="71"/>
      <c r="L3" s="71"/>
      <c r="M3" s="30"/>
    </row>
    <row r="4" spans="1:14" ht="12" customHeight="1" x14ac:dyDescent="0.25">
      <c r="E4" s="27"/>
      <c r="F4" s="28"/>
      <c r="H4" s="71"/>
      <c r="I4" s="71"/>
      <c r="J4" s="71"/>
      <c r="K4" s="71"/>
      <c r="L4" s="71"/>
      <c r="M4" s="30"/>
    </row>
    <row r="5" spans="1:14" s="182" customFormat="1" ht="15" customHeight="1" x14ac:dyDescent="0.25">
      <c r="B5" s="82" t="s">
        <v>204</v>
      </c>
      <c r="C5" s="67" t="s">
        <v>229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70" customFormat="1" ht="16.5" customHeight="1" x14ac:dyDescent="0.25">
      <c r="B6" s="83" t="s">
        <v>205</v>
      </c>
      <c r="C6" s="70" t="s">
        <v>230</v>
      </c>
    </row>
    <row r="7" spans="1:14" ht="9.9499999999999993" customHeight="1" thickBot="1" x14ac:dyDescent="0.3"/>
    <row r="8" spans="1:14" s="53" customFormat="1" ht="9.9499999999999993" customHeight="1" thickTop="1" x14ac:dyDescent="0.2">
      <c r="A8" s="350"/>
      <c r="B8" s="351"/>
      <c r="C8" s="351"/>
      <c r="D8" s="352"/>
      <c r="E8" s="353"/>
      <c r="F8" s="354"/>
      <c r="G8" s="354"/>
      <c r="H8" s="430"/>
      <c r="I8" s="354"/>
      <c r="J8" s="354"/>
      <c r="K8" s="354"/>
      <c r="L8" s="354"/>
      <c r="M8" s="355"/>
      <c r="N8" s="350"/>
    </row>
    <row r="9" spans="1:14" s="53" customFormat="1" ht="27.75" customHeight="1" x14ac:dyDescent="0.2">
      <c r="A9" s="356"/>
      <c r="B9" s="466" t="s">
        <v>239</v>
      </c>
      <c r="C9" s="466"/>
      <c r="D9" s="425" t="s">
        <v>251</v>
      </c>
      <c r="E9" s="425" t="s">
        <v>249</v>
      </c>
      <c r="F9" s="425" t="s">
        <v>248</v>
      </c>
      <c r="G9" s="425" t="s">
        <v>247</v>
      </c>
      <c r="H9" s="467" t="s">
        <v>272</v>
      </c>
      <c r="I9" s="467"/>
      <c r="J9" s="423"/>
      <c r="K9" s="467" t="s">
        <v>250</v>
      </c>
      <c r="L9" s="467"/>
      <c r="M9" s="425" t="s">
        <v>246</v>
      </c>
      <c r="N9" s="357"/>
    </row>
    <row r="10" spans="1:14" s="53" customFormat="1" ht="30" customHeight="1" x14ac:dyDescent="0.2">
      <c r="A10" s="356"/>
      <c r="B10" s="468" t="s">
        <v>240</v>
      </c>
      <c r="C10" s="468"/>
      <c r="D10" s="424" t="s">
        <v>241</v>
      </c>
      <c r="E10" s="424" t="s">
        <v>242</v>
      </c>
      <c r="F10" s="424" t="s">
        <v>243</v>
      </c>
      <c r="G10" s="424" t="s">
        <v>244</v>
      </c>
      <c r="H10" s="436" t="s">
        <v>254</v>
      </c>
      <c r="I10" s="436" t="s">
        <v>255</v>
      </c>
      <c r="J10" s="436"/>
      <c r="K10" s="436" t="s">
        <v>254</v>
      </c>
      <c r="L10" s="436" t="s">
        <v>255</v>
      </c>
      <c r="M10" s="413" t="s">
        <v>245</v>
      </c>
      <c r="N10" s="422"/>
    </row>
    <row r="11" spans="1:14" s="53" customFormat="1" ht="30" customHeight="1" x14ac:dyDescent="0.2">
      <c r="A11" s="358"/>
      <c r="B11" s="434"/>
      <c r="C11" s="434"/>
      <c r="D11" s="426"/>
      <c r="E11" s="426"/>
      <c r="F11" s="426"/>
      <c r="G11" s="426"/>
      <c r="H11" s="435" t="s">
        <v>252</v>
      </c>
      <c r="I11" s="435" t="s">
        <v>253</v>
      </c>
      <c r="J11" s="435"/>
      <c r="K11" s="435" t="s">
        <v>252</v>
      </c>
      <c r="L11" s="435" t="s">
        <v>253</v>
      </c>
      <c r="M11" s="414"/>
      <c r="N11" s="348"/>
    </row>
    <row r="12" spans="1:14" s="37" customFormat="1" ht="6.75" customHeight="1" x14ac:dyDescent="0.25">
      <c r="B12" s="40"/>
      <c r="C12" s="40"/>
      <c r="D12" s="38"/>
      <c r="E12" s="43"/>
      <c r="F12" s="97"/>
      <c r="G12" s="193"/>
      <c r="H12" s="97"/>
      <c r="I12" s="97"/>
      <c r="J12" s="97"/>
      <c r="K12" s="97"/>
      <c r="L12" s="97"/>
    </row>
    <row r="13" spans="1:14" s="37" customFormat="1" ht="17.100000000000001" customHeight="1" x14ac:dyDescent="0.25">
      <c r="A13" s="111"/>
      <c r="B13" s="194" t="s">
        <v>187</v>
      </c>
      <c r="C13" s="195"/>
      <c r="D13" s="63">
        <v>2016</v>
      </c>
      <c r="E13" s="166">
        <f>SUM(F13:M13)</f>
        <v>22327</v>
      </c>
      <c r="F13" s="166">
        <f>SUM(F17,F21,F25,F29,F33,F37,F41,F45,F49,F53,F57,F61,F65,F69)</f>
        <v>456</v>
      </c>
      <c r="G13" s="166">
        <f t="shared" ref="G13:I13" si="0">SUM(G17,G21,G25,G29,G33,G37,G41,G45,G49,G53,G57,G61,G65,G69)</f>
        <v>1886</v>
      </c>
      <c r="H13" s="166">
        <f t="shared" si="0"/>
        <v>65</v>
      </c>
      <c r="I13" s="166">
        <f t="shared" si="0"/>
        <v>10907</v>
      </c>
      <c r="J13" s="166"/>
      <c r="K13" s="166">
        <f t="shared" ref="K13:L13" si="1">SUM(K17,K21,K25,K29,K33,K37,K41,K45,K49,K53,K57,K61,K65,K69)</f>
        <v>19</v>
      </c>
      <c r="L13" s="166">
        <f t="shared" si="1"/>
        <v>3463</v>
      </c>
      <c r="M13" s="166">
        <f>SUM(M17,M21,M25,M29,M33,M37,M41,M45,M49,M53,M57,M61,M65,M69)</f>
        <v>5531</v>
      </c>
    </row>
    <row r="14" spans="1:14" s="197" customFormat="1" ht="17.100000000000001" customHeight="1" x14ac:dyDescent="0.25">
      <c r="A14" s="111"/>
      <c r="B14" s="195"/>
      <c r="C14" s="195"/>
      <c r="D14" s="63">
        <v>2017</v>
      </c>
      <c r="E14" s="166">
        <f>SUM(F14:M14)</f>
        <v>21360</v>
      </c>
      <c r="F14" s="166">
        <f t="shared" ref="F14:G14" si="2">SUM(F18,F22,F26,F30,F34,F38,F42,F46,F50,F54,F58,F62,F66,F70)</f>
        <v>379</v>
      </c>
      <c r="G14" s="166">
        <f t="shared" si="2"/>
        <v>1835</v>
      </c>
      <c r="H14" s="166">
        <f t="shared" ref="H14:I14" si="3">SUM(H18,H22,H26,H30,H34,H38,H42,H46,H50,H54,H58,H62,H66,H70)</f>
        <v>31</v>
      </c>
      <c r="I14" s="166">
        <f t="shared" si="3"/>
        <v>9779</v>
      </c>
      <c r="J14" s="166"/>
      <c r="K14" s="166">
        <f t="shared" ref="K14:L14" si="4">SUM(K18,K22,K26,K30,K34,K38,K42,K46,K50,K54,K58,K62,K66,K70)</f>
        <v>3</v>
      </c>
      <c r="L14" s="166">
        <f t="shared" si="4"/>
        <v>4309</v>
      </c>
      <c r="M14" s="166">
        <f>SUM(M18,M22,M26,M30,M34,M38,M42,M46,M50,M54,M58,M62,M66,M70)</f>
        <v>5024</v>
      </c>
    </row>
    <row r="15" spans="1:14" s="197" customFormat="1" ht="17.100000000000001" customHeight="1" x14ac:dyDescent="0.25">
      <c r="A15" s="111"/>
      <c r="B15" s="195"/>
      <c r="C15" s="195"/>
      <c r="D15" s="63">
        <v>2018</v>
      </c>
      <c r="E15" s="166">
        <f>SUM(F15:M15)</f>
        <v>16902</v>
      </c>
      <c r="F15" s="166">
        <f>SUM(F19,F23,F27,F31,F35,F39,F43,F47,F51,F55,F59,F63,F67,F71)</f>
        <v>323</v>
      </c>
      <c r="G15" s="166">
        <f>SUM(G19,G23,G27,G31,G35,G39,G43,G47,G51,G55,G59,G63,G67,G71)</f>
        <v>1648</v>
      </c>
      <c r="H15" s="166">
        <f t="shared" ref="H15:I15" si="5">SUM(H19,H23,H27,H31,H35,H39,H43,H47,H51,H55,H59,H63,H67,H71)</f>
        <v>31</v>
      </c>
      <c r="I15" s="166">
        <f t="shared" si="5"/>
        <v>6543</v>
      </c>
      <c r="J15" s="166"/>
      <c r="K15" s="166">
        <f t="shared" ref="K15:L15" si="6">SUM(K19,K23,K27,K31,K35,K39,K43,K47,K51,K55,K59,K63,K67,K71)</f>
        <v>9</v>
      </c>
      <c r="L15" s="166">
        <f t="shared" si="6"/>
        <v>3688</v>
      </c>
      <c r="M15" s="166">
        <f>SUM(M19,M23,M27,M31,M35,M39,M43,M47,M51,M55,M59,M63,M67,M71)</f>
        <v>4660</v>
      </c>
    </row>
    <row r="16" spans="1:14" s="197" customFormat="1" ht="8.1" customHeight="1" x14ac:dyDescent="0.25">
      <c r="A16" s="111"/>
      <c r="B16" s="195"/>
      <c r="C16" s="195"/>
      <c r="D16" s="162"/>
      <c r="E16" s="167"/>
      <c r="F16" s="167"/>
      <c r="G16" s="167"/>
      <c r="H16" s="167"/>
      <c r="I16" s="167"/>
      <c r="J16" s="167"/>
      <c r="K16" s="167"/>
      <c r="L16" s="167"/>
      <c r="M16" s="167"/>
    </row>
    <row r="17" spans="1:13" ht="17.100000000000001" customHeight="1" x14ac:dyDescent="0.25">
      <c r="A17" s="183"/>
      <c r="B17" s="198" t="s">
        <v>97</v>
      </c>
      <c r="C17" s="199"/>
      <c r="D17" s="168">
        <v>2016</v>
      </c>
      <c r="E17" s="167">
        <f>SUM(F17:M17)</f>
        <v>2820</v>
      </c>
      <c r="F17" s="167">
        <v>70</v>
      </c>
      <c r="G17" s="167">
        <v>274</v>
      </c>
      <c r="H17" s="167">
        <v>10</v>
      </c>
      <c r="I17" s="167">
        <v>1308</v>
      </c>
      <c r="J17" s="167"/>
      <c r="K17" s="167">
        <v>3</v>
      </c>
      <c r="L17" s="167">
        <v>447</v>
      </c>
      <c r="M17" s="167">
        <v>708</v>
      </c>
    </row>
    <row r="18" spans="1:13" ht="17.100000000000001" customHeight="1" x14ac:dyDescent="0.25">
      <c r="A18" s="183"/>
      <c r="B18" s="198"/>
      <c r="C18" s="199"/>
      <c r="D18" s="168">
        <v>2017</v>
      </c>
      <c r="E18" s="167">
        <f>SUM(F18:M18)</f>
        <v>2578</v>
      </c>
      <c r="F18" s="371">
        <v>66</v>
      </c>
      <c r="G18" s="371">
        <v>196</v>
      </c>
      <c r="H18" s="371">
        <v>1</v>
      </c>
      <c r="I18" s="371">
        <v>1220</v>
      </c>
      <c r="J18" s="371"/>
      <c r="K18" s="437" t="s">
        <v>51</v>
      </c>
      <c r="L18" s="371">
        <v>481</v>
      </c>
      <c r="M18" s="167">
        <v>614</v>
      </c>
    </row>
    <row r="19" spans="1:13" ht="17.100000000000001" customHeight="1" x14ac:dyDescent="0.2">
      <c r="A19" s="183"/>
      <c r="B19" s="198"/>
      <c r="C19" s="199"/>
      <c r="D19" s="168">
        <v>2018</v>
      </c>
      <c r="E19" s="167">
        <f>SUM(F19:M19)</f>
        <v>1880</v>
      </c>
      <c r="F19" s="412">
        <v>43</v>
      </c>
      <c r="G19" s="412">
        <v>187</v>
      </c>
      <c r="H19" s="412">
        <v>2</v>
      </c>
      <c r="I19" s="412">
        <v>740</v>
      </c>
      <c r="J19" s="412"/>
      <c r="K19" s="438" t="s">
        <v>51</v>
      </c>
      <c r="L19" s="412">
        <v>330</v>
      </c>
      <c r="M19" s="412">
        <v>578</v>
      </c>
    </row>
    <row r="20" spans="1:13" ht="8.1" customHeight="1" x14ac:dyDescent="0.25">
      <c r="A20" s="183"/>
      <c r="B20" s="198"/>
      <c r="C20" s="199"/>
      <c r="D20" s="162"/>
      <c r="E20" s="167"/>
      <c r="F20" s="376"/>
      <c r="G20" s="376"/>
      <c r="H20" s="376"/>
      <c r="I20" s="376"/>
      <c r="J20" s="376"/>
      <c r="K20" s="376"/>
      <c r="L20" s="376"/>
      <c r="M20" s="376"/>
    </row>
    <row r="21" spans="1:13" ht="17.100000000000001" customHeight="1" x14ac:dyDescent="0.25">
      <c r="A21" s="183"/>
      <c r="B21" s="198" t="s">
        <v>99</v>
      </c>
      <c r="C21" s="199"/>
      <c r="D21" s="168">
        <v>2016</v>
      </c>
      <c r="E21" s="167">
        <f>SUM(F21:M21)</f>
        <v>1239</v>
      </c>
      <c r="F21" s="373">
        <v>17</v>
      </c>
      <c r="G21" s="373">
        <v>165</v>
      </c>
      <c r="H21" s="373">
        <v>2</v>
      </c>
      <c r="I21" s="373">
        <v>461</v>
      </c>
      <c r="J21" s="373"/>
      <c r="K21" s="373">
        <v>2</v>
      </c>
      <c r="L21" s="373">
        <v>194</v>
      </c>
      <c r="M21" s="374">
        <v>398</v>
      </c>
    </row>
    <row r="22" spans="1:13" ht="17.100000000000001" customHeight="1" x14ac:dyDescent="0.25">
      <c r="A22" s="183"/>
      <c r="B22" s="198"/>
      <c r="C22" s="199"/>
      <c r="D22" s="168">
        <v>2017</v>
      </c>
      <c r="E22" s="167">
        <f>SUM(F22:M22)</f>
        <v>996</v>
      </c>
      <c r="F22" s="371">
        <v>21</v>
      </c>
      <c r="G22" s="371">
        <v>119</v>
      </c>
      <c r="H22" s="371">
        <v>2</v>
      </c>
      <c r="I22" s="371">
        <v>333</v>
      </c>
      <c r="J22" s="371"/>
      <c r="K22" s="437" t="s">
        <v>51</v>
      </c>
      <c r="L22" s="371">
        <v>157</v>
      </c>
      <c r="M22" s="167">
        <v>364</v>
      </c>
    </row>
    <row r="23" spans="1:13" ht="17.100000000000001" customHeight="1" x14ac:dyDescent="0.2">
      <c r="A23" s="183"/>
      <c r="B23" s="198"/>
      <c r="C23" s="199"/>
      <c r="D23" s="168">
        <v>2018</v>
      </c>
      <c r="E23" s="167">
        <f>SUM(F23:M23)</f>
        <v>989</v>
      </c>
      <c r="F23" s="439">
        <v>9</v>
      </c>
      <c r="G23" s="439">
        <v>119</v>
      </c>
      <c r="H23" s="439">
        <v>2</v>
      </c>
      <c r="I23" s="439">
        <v>353</v>
      </c>
      <c r="J23" s="439"/>
      <c r="K23" s="440" t="s">
        <v>51</v>
      </c>
      <c r="L23" s="439">
        <v>169</v>
      </c>
      <c r="M23" s="439">
        <v>337</v>
      </c>
    </row>
    <row r="24" spans="1:13" ht="8.1" customHeight="1" x14ac:dyDescent="0.25">
      <c r="A24" s="183"/>
      <c r="B24" s="198"/>
      <c r="C24" s="199"/>
      <c r="D24" s="162"/>
      <c r="E24" s="167"/>
      <c r="F24" s="372"/>
      <c r="G24" s="372"/>
      <c r="H24" s="372"/>
      <c r="I24" s="372"/>
      <c r="J24" s="372"/>
      <c r="K24" s="372"/>
      <c r="L24" s="372"/>
      <c r="M24" s="372"/>
    </row>
    <row r="25" spans="1:13" ht="17.100000000000001" customHeight="1" x14ac:dyDescent="0.25">
      <c r="A25" s="183"/>
      <c r="B25" s="198" t="s">
        <v>188</v>
      </c>
      <c r="C25" s="199"/>
      <c r="D25" s="168">
        <v>2016</v>
      </c>
      <c r="E25" s="167">
        <f>SUM(F25:M25)</f>
        <v>543</v>
      </c>
      <c r="F25" s="371">
        <v>10</v>
      </c>
      <c r="G25" s="371">
        <v>144</v>
      </c>
      <c r="H25" s="371">
        <v>1</v>
      </c>
      <c r="I25" s="371">
        <v>71</v>
      </c>
      <c r="J25" s="371"/>
      <c r="K25" s="371">
        <v>1</v>
      </c>
      <c r="L25" s="371">
        <v>25</v>
      </c>
      <c r="M25" s="371">
        <v>291</v>
      </c>
    </row>
    <row r="26" spans="1:13" ht="17.100000000000001" customHeight="1" x14ac:dyDescent="0.25">
      <c r="A26" s="183"/>
      <c r="B26" s="198"/>
      <c r="C26" s="199"/>
      <c r="D26" s="168">
        <v>2017</v>
      </c>
      <c r="E26" s="167">
        <f>SUM(F26:M26)</f>
        <v>600</v>
      </c>
      <c r="F26" s="371">
        <v>13</v>
      </c>
      <c r="G26" s="371">
        <v>114</v>
      </c>
      <c r="H26" s="371">
        <v>2</v>
      </c>
      <c r="I26" s="371">
        <v>141</v>
      </c>
      <c r="J26" s="371"/>
      <c r="K26" s="437" t="s">
        <v>51</v>
      </c>
      <c r="L26" s="371">
        <v>78</v>
      </c>
      <c r="M26" s="371">
        <v>252</v>
      </c>
    </row>
    <row r="27" spans="1:13" ht="17.100000000000001" customHeight="1" x14ac:dyDescent="0.25">
      <c r="A27" s="183"/>
      <c r="B27" s="198"/>
      <c r="C27" s="199"/>
      <c r="D27" s="168">
        <v>2018</v>
      </c>
      <c r="E27" s="167">
        <f>SUM(F27:M27)</f>
        <v>511</v>
      </c>
      <c r="F27" s="371">
        <v>6</v>
      </c>
      <c r="G27" s="371">
        <v>101</v>
      </c>
      <c r="H27" s="371">
        <v>4</v>
      </c>
      <c r="I27" s="371">
        <v>139</v>
      </c>
      <c r="J27" s="371"/>
      <c r="K27" s="437" t="s">
        <v>51</v>
      </c>
      <c r="L27" s="371">
        <v>71</v>
      </c>
      <c r="M27" s="371">
        <v>190</v>
      </c>
    </row>
    <row r="28" spans="1:13" ht="8.1" customHeight="1" x14ac:dyDescent="0.25">
      <c r="A28" s="183"/>
      <c r="B28" s="198"/>
      <c r="C28" s="199"/>
      <c r="D28" s="162"/>
      <c r="E28" s="167"/>
      <c r="F28" s="441"/>
      <c r="G28" s="441"/>
      <c r="H28" s="441"/>
      <c r="I28" s="441"/>
      <c r="J28" s="441"/>
      <c r="K28" s="441"/>
      <c r="L28" s="441"/>
      <c r="M28" s="441"/>
    </row>
    <row r="29" spans="1:13" ht="17.100000000000001" customHeight="1" x14ac:dyDescent="0.25">
      <c r="A29" s="183"/>
      <c r="B29" s="198" t="s">
        <v>189</v>
      </c>
      <c r="C29" s="199"/>
      <c r="D29" s="168">
        <v>2016</v>
      </c>
      <c r="E29" s="167">
        <f>SUM(F29:M29)</f>
        <v>1154</v>
      </c>
      <c r="F29" s="371">
        <v>13</v>
      </c>
      <c r="G29" s="371">
        <v>60</v>
      </c>
      <c r="H29" s="371">
        <v>2</v>
      </c>
      <c r="I29" s="371">
        <v>610</v>
      </c>
      <c r="J29" s="371"/>
      <c r="K29" s="437" t="s">
        <v>51</v>
      </c>
      <c r="L29" s="371">
        <v>276</v>
      </c>
      <c r="M29" s="371">
        <v>193</v>
      </c>
    </row>
    <row r="30" spans="1:13" ht="17.100000000000001" customHeight="1" x14ac:dyDescent="0.25">
      <c r="A30" s="183"/>
      <c r="B30" s="198"/>
      <c r="C30" s="199"/>
      <c r="D30" s="168">
        <v>2017</v>
      </c>
      <c r="E30" s="167">
        <f>SUM(F30:M30)</f>
        <v>842</v>
      </c>
      <c r="F30" s="371">
        <v>7</v>
      </c>
      <c r="G30" s="371">
        <v>69</v>
      </c>
      <c r="H30" s="371">
        <v>1</v>
      </c>
      <c r="I30" s="371">
        <v>349</v>
      </c>
      <c r="J30" s="371"/>
      <c r="K30" s="437" t="s">
        <v>51</v>
      </c>
      <c r="L30" s="371">
        <v>240</v>
      </c>
      <c r="M30" s="371">
        <v>176</v>
      </c>
    </row>
    <row r="31" spans="1:13" ht="17.100000000000001" customHeight="1" x14ac:dyDescent="0.25">
      <c r="A31" s="183"/>
      <c r="B31" s="198"/>
      <c r="C31" s="199"/>
      <c r="D31" s="168">
        <v>2018</v>
      </c>
      <c r="E31" s="167">
        <f>SUM(F31:M31)</f>
        <v>621</v>
      </c>
      <c r="F31" s="371">
        <v>13</v>
      </c>
      <c r="G31" s="371">
        <v>51</v>
      </c>
      <c r="H31" s="371">
        <v>1</v>
      </c>
      <c r="I31" s="371">
        <v>175</v>
      </c>
      <c r="J31" s="371"/>
      <c r="K31" s="437" t="s">
        <v>51</v>
      </c>
      <c r="L31" s="371">
        <v>183</v>
      </c>
      <c r="M31" s="371">
        <v>198</v>
      </c>
    </row>
    <row r="32" spans="1:13" ht="8.1" customHeight="1" x14ac:dyDescent="0.25">
      <c r="A32" s="183"/>
      <c r="B32" s="198"/>
      <c r="C32" s="199"/>
      <c r="D32" s="162"/>
      <c r="E32" s="167"/>
      <c r="F32" s="373"/>
      <c r="G32" s="373"/>
      <c r="H32" s="373"/>
      <c r="I32" s="373"/>
      <c r="J32" s="373"/>
      <c r="K32" s="373"/>
      <c r="L32" s="373"/>
      <c r="M32" s="374"/>
    </row>
    <row r="33" spans="1:17" ht="17.100000000000001" customHeight="1" x14ac:dyDescent="0.25">
      <c r="A33" s="183"/>
      <c r="B33" s="198" t="s">
        <v>31</v>
      </c>
      <c r="C33" s="199"/>
      <c r="D33" s="168">
        <v>2016</v>
      </c>
      <c r="E33" s="167">
        <f>SUM(F33:M33)</f>
        <v>1084</v>
      </c>
      <c r="F33" s="371">
        <v>17</v>
      </c>
      <c r="G33" s="371">
        <v>107</v>
      </c>
      <c r="H33" s="371">
        <v>2</v>
      </c>
      <c r="I33" s="371">
        <v>474</v>
      </c>
      <c r="J33" s="371"/>
      <c r="K33" s="371">
        <v>2</v>
      </c>
      <c r="L33" s="371">
        <v>223</v>
      </c>
      <c r="M33" s="371">
        <v>259</v>
      </c>
    </row>
    <row r="34" spans="1:17" s="27" customFormat="1" ht="17.100000000000001" customHeight="1" x14ac:dyDescent="0.25">
      <c r="A34" s="106"/>
      <c r="B34" s="198"/>
      <c r="C34" s="199"/>
      <c r="D34" s="168">
        <v>2017</v>
      </c>
      <c r="E34" s="167">
        <f>SUM(F34:M34)</f>
        <v>884</v>
      </c>
      <c r="F34" s="371">
        <v>14</v>
      </c>
      <c r="G34" s="371">
        <v>91</v>
      </c>
      <c r="H34" s="371">
        <v>2</v>
      </c>
      <c r="I34" s="371">
        <v>392</v>
      </c>
      <c r="J34" s="371"/>
      <c r="K34" s="437" t="s">
        <v>51</v>
      </c>
      <c r="L34" s="371">
        <v>144</v>
      </c>
      <c r="M34" s="371">
        <v>241</v>
      </c>
      <c r="N34" s="30"/>
      <c r="O34" s="30"/>
      <c r="P34" s="30"/>
      <c r="Q34" s="30"/>
    </row>
    <row r="35" spans="1:17" ht="17.100000000000001" customHeight="1" x14ac:dyDescent="0.25">
      <c r="A35" s="183"/>
      <c r="B35" s="198"/>
      <c r="C35" s="199"/>
      <c r="D35" s="168">
        <v>2018</v>
      </c>
      <c r="E35" s="167">
        <f>SUM(F35:M35)</f>
        <v>831</v>
      </c>
      <c r="F35" s="371">
        <v>9</v>
      </c>
      <c r="G35" s="371">
        <v>97</v>
      </c>
      <c r="H35" s="437" t="s">
        <v>51</v>
      </c>
      <c r="I35" s="371">
        <v>288</v>
      </c>
      <c r="J35" s="371"/>
      <c r="K35" s="371">
        <v>1</v>
      </c>
      <c r="L35" s="371">
        <v>187</v>
      </c>
      <c r="M35" s="371">
        <v>249</v>
      </c>
    </row>
    <row r="36" spans="1:17" ht="8.1" customHeight="1" x14ac:dyDescent="0.25">
      <c r="A36" s="183"/>
      <c r="B36" s="198"/>
      <c r="C36" s="199"/>
      <c r="D36" s="162"/>
      <c r="E36" s="167"/>
      <c r="F36" s="441"/>
      <c r="G36" s="441"/>
      <c r="H36" s="441"/>
      <c r="I36" s="441"/>
      <c r="J36" s="441"/>
      <c r="K36" s="441"/>
      <c r="L36" s="441"/>
      <c r="M36" s="441"/>
    </row>
    <row r="37" spans="1:17" ht="17.100000000000001" customHeight="1" x14ac:dyDescent="0.25">
      <c r="A37" s="183"/>
      <c r="B37" s="198" t="s">
        <v>100</v>
      </c>
      <c r="C37" s="199"/>
      <c r="D37" s="168">
        <v>2016</v>
      </c>
      <c r="E37" s="167">
        <f>SUM(F37:M37)</f>
        <v>651</v>
      </c>
      <c r="F37" s="371">
        <v>15</v>
      </c>
      <c r="G37" s="371">
        <v>134</v>
      </c>
      <c r="H37" s="437" t="s">
        <v>51</v>
      </c>
      <c r="I37" s="371">
        <v>234</v>
      </c>
      <c r="J37" s="371"/>
      <c r="K37" s="371">
        <v>1</v>
      </c>
      <c r="L37" s="371">
        <v>58</v>
      </c>
      <c r="M37" s="371">
        <v>209</v>
      </c>
    </row>
    <row r="38" spans="1:17" ht="17.100000000000001" customHeight="1" x14ac:dyDescent="0.25">
      <c r="A38" s="183"/>
      <c r="B38" s="198"/>
      <c r="C38" s="199"/>
      <c r="D38" s="168">
        <v>2017</v>
      </c>
      <c r="E38" s="167">
        <f>SUM(F38:M38)</f>
        <v>650</v>
      </c>
      <c r="F38" s="371">
        <v>16</v>
      </c>
      <c r="G38" s="371">
        <v>163</v>
      </c>
      <c r="H38" s="371">
        <v>1</v>
      </c>
      <c r="I38" s="371">
        <v>201</v>
      </c>
      <c r="J38" s="371"/>
      <c r="K38" s="437" t="s">
        <v>51</v>
      </c>
      <c r="L38" s="371">
        <v>81</v>
      </c>
      <c r="M38" s="371">
        <v>188</v>
      </c>
    </row>
    <row r="39" spans="1:17" ht="17.100000000000001" customHeight="1" x14ac:dyDescent="0.25">
      <c r="A39" s="183"/>
      <c r="B39" s="198"/>
      <c r="C39" s="199"/>
      <c r="D39" s="168">
        <v>2018</v>
      </c>
      <c r="E39" s="167">
        <f>SUM(F39:M39)</f>
        <v>572</v>
      </c>
      <c r="F39" s="371">
        <v>8</v>
      </c>
      <c r="G39" s="371">
        <v>109</v>
      </c>
      <c r="H39" s="371">
        <v>2</v>
      </c>
      <c r="I39" s="371">
        <v>164</v>
      </c>
      <c r="J39" s="371"/>
      <c r="K39" s="437" t="s">
        <v>51</v>
      </c>
      <c r="L39" s="371">
        <v>90</v>
      </c>
      <c r="M39" s="371">
        <v>199</v>
      </c>
    </row>
    <row r="40" spans="1:17" ht="8.1" customHeight="1" x14ac:dyDescent="0.25">
      <c r="A40" s="183"/>
      <c r="B40" s="198"/>
      <c r="C40" s="199"/>
      <c r="D40" s="162"/>
      <c r="E40" s="167"/>
      <c r="F40" s="373"/>
      <c r="G40" s="373"/>
      <c r="H40" s="373"/>
      <c r="I40" s="373"/>
      <c r="J40" s="373"/>
      <c r="K40" s="373"/>
      <c r="L40" s="373"/>
      <c r="M40" s="374"/>
    </row>
    <row r="41" spans="1:17" ht="17.100000000000001" customHeight="1" x14ac:dyDescent="0.25">
      <c r="A41" s="183"/>
      <c r="B41" s="198" t="s">
        <v>176</v>
      </c>
      <c r="C41" s="199"/>
      <c r="D41" s="168">
        <v>2016</v>
      </c>
      <c r="E41" s="167">
        <f>SUM(F41:M41)</f>
        <v>1295</v>
      </c>
      <c r="F41" s="167">
        <v>42</v>
      </c>
      <c r="G41" s="167">
        <v>96</v>
      </c>
      <c r="H41" s="167">
        <v>8</v>
      </c>
      <c r="I41" s="167">
        <v>539</v>
      </c>
      <c r="J41" s="167"/>
      <c r="K41" s="167">
        <v>1</v>
      </c>
      <c r="L41" s="167">
        <v>197</v>
      </c>
      <c r="M41" s="167">
        <v>412</v>
      </c>
    </row>
    <row r="42" spans="1:17" ht="17.100000000000001" customHeight="1" x14ac:dyDescent="0.25">
      <c r="A42" s="183"/>
      <c r="B42" s="198"/>
      <c r="C42" s="199"/>
      <c r="D42" s="168">
        <v>2017</v>
      </c>
      <c r="E42" s="167">
        <f>SUM(F42:M42)</f>
        <v>1140</v>
      </c>
      <c r="F42" s="167">
        <v>35</v>
      </c>
      <c r="G42" s="167">
        <v>95</v>
      </c>
      <c r="H42" s="167">
        <v>4</v>
      </c>
      <c r="I42" s="167">
        <v>426</v>
      </c>
      <c r="J42" s="167"/>
      <c r="K42" s="165" t="s">
        <v>51</v>
      </c>
      <c r="L42" s="167">
        <v>200</v>
      </c>
      <c r="M42" s="167">
        <v>380</v>
      </c>
    </row>
    <row r="43" spans="1:17" ht="17.100000000000001" customHeight="1" x14ac:dyDescent="0.25">
      <c r="A43" s="183"/>
      <c r="B43" s="198"/>
      <c r="C43" s="199"/>
      <c r="D43" s="168">
        <v>2018</v>
      </c>
      <c r="E43" s="167">
        <f>SUM(F43:M43)</f>
        <v>1005</v>
      </c>
      <c r="F43" s="167">
        <v>33</v>
      </c>
      <c r="G43" s="167">
        <v>104</v>
      </c>
      <c r="H43" s="167">
        <v>1</v>
      </c>
      <c r="I43" s="167">
        <v>365</v>
      </c>
      <c r="J43" s="167"/>
      <c r="K43" s="167">
        <v>2</v>
      </c>
      <c r="L43" s="167">
        <v>142</v>
      </c>
      <c r="M43" s="167">
        <v>358</v>
      </c>
    </row>
    <row r="44" spans="1:17" ht="8.1" customHeight="1" x14ac:dyDescent="0.25">
      <c r="A44" s="183"/>
      <c r="B44" s="198"/>
      <c r="C44" s="199"/>
      <c r="D44" s="162"/>
      <c r="E44" s="167"/>
      <c r="F44" s="373"/>
      <c r="G44" s="373"/>
      <c r="H44" s="373"/>
      <c r="I44" s="373"/>
      <c r="J44" s="373"/>
      <c r="K44" s="373"/>
      <c r="L44" s="373"/>
      <c r="M44" s="374"/>
    </row>
    <row r="45" spans="1:17" ht="17.100000000000001" customHeight="1" x14ac:dyDescent="0.25">
      <c r="A45" s="183"/>
      <c r="B45" s="198" t="s">
        <v>49</v>
      </c>
      <c r="C45" s="199"/>
      <c r="D45" s="168">
        <v>2016</v>
      </c>
      <c r="E45" s="167">
        <f>SUM(F45:M45)</f>
        <v>109</v>
      </c>
      <c r="F45" s="165" t="s">
        <v>51</v>
      </c>
      <c r="G45" s="167">
        <v>31</v>
      </c>
      <c r="H45" s="165" t="s">
        <v>51</v>
      </c>
      <c r="I45" s="167">
        <v>17</v>
      </c>
      <c r="J45" s="167"/>
      <c r="K45" s="165" t="s">
        <v>51</v>
      </c>
      <c r="L45" s="167">
        <v>9</v>
      </c>
      <c r="M45" s="167">
        <v>52</v>
      </c>
    </row>
    <row r="46" spans="1:17" ht="17.100000000000001" customHeight="1" x14ac:dyDescent="0.25">
      <c r="A46" s="183"/>
      <c r="B46" s="198"/>
      <c r="C46" s="199"/>
      <c r="D46" s="168">
        <v>2017</v>
      </c>
      <c r="E46" s="167">
        <f>SUM(F46:M46)</f>
        <v>132</v>
      </c>
      <c r="F46" s="167">
        <v>2</v>
      </c>
      <c r="G46" s="167">
        <v>30</v>
      </c>
      <c r="H46" s="165" t="s">
        <v>51</v>
      </c>
      <c r="I46" s="167">
        <v>25</v>
      </c>
      <c r="J46" s="167"/>
      <c r="K46" s="165" t="s">
        <v>51</v>
      </c>
      <c r="L46" s="167">
        <v>28</v>
      </c>
      <c r="M46" s="167">
        <v>47</v>
      </c>
    </row>
    <row r="47" spans="1:17" ht="17.100000000000001" customHeight="1" x14ac:dyDescent="0.25">
      <c r="A47" s="183"/>
      <c r="B47" s="198"/>
      <c r="C47" s="199"/>
      <c r="D47" s="168">
        <v>2018</v>
      </c>
      <c r="E47" s="167">
        <f>SUM(F47:M47)</f>
        <v>126</v>
      </c>
      <c r="F47" s="167">
        <v>1</v>
      </c>
      <c r="G47" s="167">
        <v>30</v>
      </c>
      <c r="H47" s="165" t="s">
        <v>51</v>
      </c>
      <c r="I47" s="167">
        <v>17</v>
      </c>
      <c r="J47" s="167"/>
      <c r="K47" s="165" t="s">
        <v>51</v>
      </c>
      <c r="L47" s="167">
        <v>33</v>
      </c>
      <c r="M47" s="167">
        <v>45</v>
      </c>
    </row>
    <row r="48" spans="1:17" ht="8.1" customHeight="1" x14ac:dyDescent="0.25">
      <c r="A48" s="183"/>
      <c r="B48" s="198"/>
      <c r="C48" s="199"/>
      <c r="D48" s="162"/>
      <c r="E48" s="167"/>
      <c r="F48" s="373"/>
      <c r="G48" s="373"/>
      <c r="H48" s="373"/>
      <c r="I48" s="373"/>
      <c r="J48" s="373"/>
      <c r="K48" s="373"/>
      <c r="L48" s="373"/>
      <c r="M48" s="374"/>
    </row>
    <row r="49" spans="1:13" ht="17.100000000000001" customHeight="1" x14ac:dyDescent="0.25">
      <c r="A49" s="183"/>
      <c r="B49" s="198" t="s">
        <v>50</v>
      </c>
      <c r="C49" s="199"/>
      <c r="D49" s="168">
        <v>2016</v>
      </c>
      <c r="E49" s="167">
        <f>SUM(F49:M49)</f>
        <v>1038</v>
      </c>
      <c r="F49" s="231">
        <v>28</v>
      </c>
      <c r="G49" s="231">
        <v>65</v>
      </c>
      <c r="H49" s="231">
        <v>2</v>
      </c>
      <c r="I49" s="231">
        <v>406</v>
      </c>
      <c r="J49" s="231"/>
      <c r="K49" s="231">
        <v>1</v>
      </c>
      <c r="L49" s="231">
        <v>224</v>
      </c>
      <c r="M49" s="231">
        <v>312</v>
      </c>
    </row>
    <row r="50" spans="1:13" ht="17.100000000000001" customHeight="1" x14ac:dyDescent="0.25">
      <c r="A50" s="183"/>
      <c r="B50" s="198"/>
      <c r="C50" s="199"/>
      <c r="D50" s="168">
        <v>2017</v>
      </c>
      <c r="E50" s="167">
        <f>SUM(F50:M50)</f>
        <v>1078</v>
      </c>
      <c r="F50" s="231">
        <v>17</v>
      </c>
      <c r="G50" s="231">
        <v>80</v>
      </c>
      <c r="H50" s="442" t="s">
        <v>51</v>
      </c>
      <c r="I50" s="231">
        <v>481</v>
      </c>
      <c r="J50" s="231"/>
      <c r="K50" s="442" t="s">
        <v>51</v>
      </c>
      <c r="L50" s="231">
        <v>225</v>
      </c>
      <c r="M50" s="231">
        <v>275</v>
      </c>
    </row>
    <row r="51" spans="1:13" ht="17.100000000000001" customHeight="1" x14ac:dyDescent="0.25">
      <c r="A51" s="183"/>
      <c r="B51" s="198"/>
      <c r="C51" s="199"/>
      <c r="D51" s="168">
        <v>2018</v>
      </c>
      <c r="E51" s="167">
        <f>SUM(F51:M51)</f>
        <v>890</v>
      </c>
      <c r="F51" s="231">
        <v>21</v>
      </c>
      <c r="G51" s="231">
        <v>72</v>
      </c>
      <c r="H51" s="442" t="s">
        <v>51</v>
      </c>
      <c r="I51" s="231">
        <v>301</v>
      </c>
      <c r="J51" s="231"/>
      <c r="K51" s="231">
        <v>1</v>
      </c>
      <c r="L51" s="231">
        <v>200</v>
      </c>
      <c r="M51" s="231">
        <v>295</v>
      </c>
    </row>
    <row r="52" spans="1:13" ht="8.1" customHeight="1" x14ac:dyDescent="0.25">
      <c r="A52" s="183"/>
      <c r="B52" s="198"/>
      <c r="C52" s="199"/>
      <c r="D52" s="162"/>
      <c r="E52" s="167"/>
      <c r="F52" s="373"/>
      <c r="G52" s="373"/>
      <c r="H52" s="373"/>
      <c r="I52" s="373"/>
      <c r="J52" s="373"/>
      <c r="K52" s="373"/>
      <c r="L52" s="373"/>
      <c r="M52" s="374"/>
    </row>
    <row r="53" spans="1:13" ht="17.100000000000001" customHeight="1" x14ac:dyDescent="0.25">
      <c r="A53" s="183"/>
      <c r="B53" s="106" t="s">
        <v>264</v>
      </c>
      <c r="C53" s="199"/>
      <c r="D53" s="168">
        <v>2016</v>
      </c>
      <c r="E53" s="167">
        <f>SUM(F53:M53)</f>
        <v>647</v>
      </c>
      <c r="F53" s="167">
        <v>60</v>
      </c>
      <c r="G53" s="167">
        <v>193</v>
      </c>
      <c r="H53" s="167">
        <v>3</v>
      </c>
      <c r="I53" s="167">
        <v>118</v>
      </c>
      <c r="J53" s="167"/>
      <c r="K53" s="165" t="s">
        <v>51</v>
      </c>
      <c r="L53" s="167">
        <v>60</v>
      </c>
      <c r="M53" s="167">
        <v>213</v>
      </c>
    </row>
    <row r="54" spans="1:13" ht="17.100000000000001" customHeight="1" x14ac:dyDescent="0.25">
      <c r="A54" s="183"/>
      <c r="B54" s="198"/>
      <c r="C54" s="199"/>
      <c r="D54" s="168">
        <v>2017</v>
      </c>
      <c r="E54" s="167">
        <f>SUM(F54:M54)</f>
        <v>761</v>
      </c>
      <c r="F54" s="167">
        <v>36</v>
      </c>
      <c r="G54" s="167">
        <v>211</v>
      </c>
      <c r="H54" s="165" t="s">
        <v>51</v>
      </c>
      <c r="I54" s="167">
        <v>163</v>
      </c>
      <c r="J54" s="167"/>
      <c r="K54" s="165" t="s">
        <v>51</v>
      </c>
      <c r="L54" s="167">
        <v>121</v>
      </c>
      <c r="M54" s="167">
        <v>230</v>
      </c>
    </row>
    <row r="55" spans="1:13" ht="17.100000000000001" customHeight="1" x14ac:dyDescent="0.25">
      <c r="A55" s="183"/>
      <c r="B55" s="198"/>
      <c r="C55" s="199"/>
      <c r="D55" s="168">
        <v>2018</v>
      </c>
      <c r="E55" s="167">
        <f>SUM(F55:M55)</f>
        <v>580</v>
      </c>
      <c r="F55" s="167">
        <v>37</v>
      </c>
      <c r="G55" s="167">
        <v>178</v>
      </c>
      <c r="H55" s="167">
        <v>1</v>
      </c>
      <c r="I55" s="167">
        <v>71</v>
      </c>
      <c r="J55" s="167"/>
      <c r="K55" s="165" t="s">
        <v>51</v>
      </c>
      <c r="L55" s="167">
        <v>77</v>
      </c>
      <c r="M55" s="167">
        <v>216</v>
      </c>
    </row>
    <row r="56" spans="1:13" ht="8.1" customHeight="1" x14ac:dyDescent="0.25">
      <c r="A56" s="183"/>
      <c r="B56" s="198"/>
      <c r="C56" s="199"/>
      <c r="D56" s="162"/>
      <c r="E56" s="167"/>
      <c r="F56" s="373"/>
      <c r="G56" s="373"/>
      <c r="H56" s="373"/>
      <c r="I56" s="373"/>
      <c r="J56" s="373"/>
      <c r="K56" s="373"/>
      <c r="L56" s="373"/>
      <c r="M56" s="374"/>
    </row>
    <row r="57" spans="1:13" ht="17.100000000000001" customHeight="1" x14ac:dyDescent="0.25">
      <c r="A57" s="183"/>
      <c r="B57" s="198" t="s">
        <v>126</v>
      </c>
      <c r="C57" s="199"/>
      <c r="D57" s="168">
        <v>2016</v>
      </c>
      <c r="E57" s="167">
        <f>SUM(F57:M57)</f>
        <v>953</v>
      </c>
      <c r="F57" s="167">
        <v>27</v>
      </c>
      <c r="G57" s="167">
        <v>138</v>
      </c>
      <c r="H57" s="167">
        <v>15</v>
      </c>
      <c r="I57" s="167">
        <v>281</v>
      </c>
      <c r="J57" s="167"/>
      <c r="K57" s="167">
        <v>2</v>
      </c>
      <c r="L57" s="167">
        <v>76</v>
      </c>
      <c r="M57" s="167">
        <v>414</v>
      </c>
    </row>
    <row r="58" spans="1:13" ht="17.100000000000001" customHeight="1" x14ac:dyDescent="0.25">
      <c r="A58" s="183"/>
      <c r="B58" s="198"/>
      <c r="C58" s="199"/>
      <c r="D58" s="168">
        <v>2017</v>
      </c>
      <c r="E58" s="167">
        <f>SUM(F58:M58)</f>
        <v>876</v>
      </c>
      <c r="F58" s="167">
        <v>27</v>
      </c>
      <c r="G58" s="167">
        <v>150</v>
      </c>
      <c r="H58" s="167">
        <v>2</v>
      </c>
      <c r="I58" s="167">
        <v>238</v>
      </c>
      <c r="J58" s="167"/>
      <c r="K58" s="167">
        <v>1</v>
      </c>
      <c r="L58" s="167">
        <v>90</v>
      </c>
      <c r="M58" s="167">
        <v>368</v>
      </c>
    </row>
    <row r="59" spans="1:13" ht="17.100000000000001" customHeight="1" x14ac:dyDescent="0.25">
      <c r="A59" s="183"/>
      <c r="B59" s="198"/>
      <c r="C59" s="199"/>
      <c r="D59" s="168">
        <v>2018</v>
      </c>
      <c r="E59" s="167">
        <f>SUM(F59:M59)</f>
        <v>811</v>
      </c>
      <c r="F59" s="167">
        <v>17</v>
      </c>
      <c r="G59" s="167">
        <v>131</v>
      </c>
      <c r="H59" s="167">
        <v>3</v>
      </c>
      <c r="I59" s="167">
        <v>214</v>
      </c>
      <c r="J59" s="167"/>
      <c r="K59" s="165" t="s">
        <v>51</v>
      </c>
      <c r="L59" s="167">
        <v>88</v>
      </c>
      <c r="M59" s="167">
        <v>358</v>
      </c>
    </row>
    <row r="60" spans="1:13" ht="8.1" customHeight="1" x14ac:dyDescent="0.25">
      <c r="A60" s="183"/>
      <c r="B60" s="198"/>
      <c r="C60" s="199"/>
      <c r="D60" s="162"/>
      <c r="E60" s="167"/>
      <c r="F60" s="376"/>
      <c r="G60" s="376"/>
      <c r="H60" s="376"/>
      <c r="I60" s="376"/>
      <c r="J60" s="376"/>
      <c r="K60" s="376"/>
      <c r="L60" s="376"/>
      <c r="M60" s="376"/>
    </row>
    <row r="61" spans="1:13" ht="17.100000000000001" customHeight="1" x14ac:dyDescent="0.25">
      <c r="A61" s="183"/>
      <c r="B61" s="198" t="s">
        <v>102</v>
      </c>
      <c r="C61" s="199"/>
      <c r="D61" s="168">
        <v>2016</v>
      </c>
      <c r="E61" s="167">
        <f>SUM(F61:M61)</f>
        <v>6611</v>
      </c>
      <c r="F61" s="371">
        <v>105</v>
      </c>
      <c r="G61" s="371">
        <v>305</v>
      </c>
      <c r="H61" s="371">
        <v>7</v>
      </c>
      <c r="I61" s="371">
        <v>4028</v>
      </c>
      <c r="J61" s="371"/>
      <c r="K61" s="371">
        <v>1</v>
      </c>
      <c r="L61" s="371">
        <v>905</v>
      </c>
      <c r="M61" s="371">
        <v>1260</v>
      </c>
    </row>
    <row r="62" spans="1:13" ht="17.100000000000001" customHeight="1" x14ac:dyDescent="0.25">
      <c r="A62" s="183"/>
      <c r="B62" s="198"/>
      <c r="C62" s="199"/>
      <c r="D62" s="168">
        <v>2017</v>
      </c>
      <c r="E62" s="167">
        <f>SUM(F62:M62)</f>
        <v>6470</v>
      </c>
      <c r="F62" s="371">
        <v>83</v>
      </c>
      <c r="G62" s="371">
        <v>321</v>
      </c>
      <c r="H62" s="371">
        <v>12</v>
      </c>
      <c r="I62" s="371">
        <v>3747</v>
      </c>
      <c r="J62" s="371"/>
      <c r="K62" s="371">
        <v>2</v>
      </c>
      <c r="L62" s="371">
        <v>1197</v>
      </c>
      <c r="M62" s="371">
        <v>1108</v>
      </c>
    </row>
    <row r="63" spans="1:13" ht="17.100000000000001" customHeight="1" x14ac:dyDescent="0.25">
      <c r="A63" s="183"/>
      <c r="B63" s="198"/>
      <c r="C63" s="199"/>
      <c r="D63" s="168">
        <v>2018</v>
      </c>
      <c r="E63" s="167">
        <f>SUM(F63:M63)</f>
        <v>4658</v>
      </c>
      <c r="F63" s="371">
        <v>91</v>
      </c>
      <c r="G63" s="371">
        <v>294</v>
      </c>
      <c r="H63" s="371">
        <v>11</v>
      </c>
      <c r="I63" s="371">
        <v>2314</v>
      </c>
      <c r="J63" s="371"/>
      <c r="K63" s="371">
        <v>3</v>
      </c>
      <c r="L63" s="371">
        <v>952</v>
      </c>
      <c r="M63" s="371">
        <v>993</v>
      </c>
    </row>
    <row r="64" spans="1:13" ht="8.1" customHeight="1" x14ac:dyDescent="0.25">
      <c r="A64" s="183"/>
      <c r="B64" s="198"/>
      <c r="C64" s="199"/>
      <c r="D64" s="162"/>
      <c r="E64" s="167"/>
      <c r="F64" s="376"/>
      <c r="G64" s="376"/>
      <c r="H64" s="376"/>
      <c r="I64" s="376"/>
      <c r="J64" s="376"/>
      <c r="K64" s="376"/>
      <c r="L64" s="376"/>
      <c r="M64" s="376"/>
    </row>
    <row r="65" spans="1:13" ht="17.100000000000001" customHeight="1" x14ac:dyDescent="0.25">
      <c r="A65" s="183"/>
      <c r="B65" s="198" t="s">
        <v>118</v>
      </c>
      <c r="C65" s="199"/>
      <c r="D65" s="168">
        <v>2016</v>
      </c>
      <c r="E65" s="167">
        <f>SUM(F65:M65)</f>
        <v>407</v>
      </c>
      <c r="F65" s="376">
        <v>11</v>
      </c>
      <c r="G65" s="376">
        <v>81</v>
      </c>
      <c r="H65" s="443" t="s">
        <v>51</v>
      </c>
      <c r="I65" s="376">
        <v>88</v>
      </c>
      <c r="J65" s="376"/>
      <c r="K65" s="376">
        <v>1</v>
      </c>
      <c r="L65" s="376">
        <v>59</v>
      </c>
      <c r="M65" s="376">
        <v>167</v>
      </c>
    </row>
    <row r="66" spans="1:13" ht="17.100000000000001" customHeight="1" x14ac:dyDescent="0.25">
      <c r="A66" s="183"/>
      <c r="B66" s="198"/>
      <c r="C66" s="199"/>
      <c r="D66" s="168">
        <v>2017</v>
      </c>
      <c r="E66" s="167">
        <f>SUM(F66:M66)</f>
        <v>354</v>
      </c>
      <c r="F66" s="371">
        <v>5</v>
      </c>
      <c r="G66" s="371">
        <v>64</v>
      </c>
      <c r="H66" s="437" t="s">
        <v>51</v>
      </c>
      <c r="I66" s="371">
        <v>79</v>
      </c>
      <c r="J66" s="371"/>
      <c r="K66" s="437" t="s">
        <v>51</v>
      </c>
      <c r="L66" s="371">
        <v>76</v>
      </c>
      <c r="M66" s="371">
        <v>130</v>
      </c>
    </row>
    <row r="67" spans="1:13" ht="17.100000000000001" customHeight="1" x14ac:dyDescent="0.25">
      <c r="A67" s="183"/>
      <c r="B67" s="198"/>
      <c r="C67" s="199"/>
      <c r="D67" s="168">
        <v>2018</v>
      </c>
      <c r="E67" s="167">
        <f>SUM(F67:M67)</f>
        <v>291</v>
      </c>
      <c r="F67" s="373">
        <v>2</v>
      </c>
      <c r="G67" s="373">
        <v>63</v>
      </c>
      <c r="H67" s="373">
        <v>1</v>
      </c>
      <c r="I67" s="373">
        <v>58</v>
      </c>
      <c r="J67" s="373"/>
      <c r="K67" s="373">
        <v>1</v>
      </c>
      <c r="L67" s="373">
        <v>42</v>
      </c>
      <c r="M67" s="374">
        <v>124</v>
      </c>
    </row>
    <row r="68" spans="1:13" ht="8.1" customHeight="1" x14ac:dyDescent="0.25">
      <c r="A68" s="183"/>
      <c r="B68" s="198"/>
      <c r="C68" s="199"/>
      <c r="D68" s="162"/>
      <c r="E68" s="167"/>
      <c r="F68" s="373"/>
      <c r="G68" s="373"/>
      <c r="H68" s="373"/>
      <c r="I68" s="373"/>
      <c r="J68" s="373"/>
      <c r="K68" s="373"/>
      <c r="L68" s="373"/>
      <c r="M68" s="374"/>
    </row>
    <row r="69" spans="1:13" ht="17.100000000000001" customHeight="1" x14ac:dyDescent="0.25">
      <c r="A69" s="183"/>
      <c r="B69" s="106" t="s">
        <v>263</v>
      </c>
      <c r="C69" s="199"/>
      <c r="D69" s="168">
        <v>2016</v>
      </c>
      <c r="E69" s="167">
        <v>3776</v>
      </c>
      <c r="F69" s="371">
        <v>41</v>
      </c>
      <c r="G69" s="371">
        <v>93</v>
      </c>
      <c r="H69" s="371">
        <v>13</v>
      </c>
      <c r="I69" s="371">
        <v>2272</v>
      </c>
      <c r="J69" s="371"/>
      <c r="K69" s="371">
        <v>4</v>
      </c>
      <c r="L69" s="371">
        <v>710</v>
      </c>
      <c r="M69" s="167">
        <v>643</v>
      </c>
    </row>
    <row r="70" spans="1:13" ht="17.100000000000001" customHeight="1" x14ac:dyDescent="0.25">
      <c r="A70" s="183"/>
      <c r="B70" s="199"/>
      <c r="C70" s="199"/>
      <c r="D70" s="162">
        <v>2017</v>
      </c>
      <c r="E70" s="167">
        <f>SUM(F70:M70)</f>
        <v>3999</v>
      </c>
      <c r="F70" s="371">
        <v>37</v>
      </c>
      <c r="G70" s="371">
        <v>132</v>
      </c>
      <c r="H70" s="371">
        <v>4</v>
      </c>
      <c r="I70" s="371">
        <v>1984</v>
      </c>
      <c r="J70" s="371"/>
      <c r="K70" s="437" t="s">
        <v>51</v>
      </c>
      <c r="L70" s="371">
        <v>1191</v>
      </c>
      <c r="M70" s="167">
        <v>651</v>
      </c>
    </row>
    <row r="71" spans="1:13" ht="17.100000000000001" customHeight="1" x14ac:dyDescent="0.25">
      <c r="A71" s="111"/>
      <c r="B71" s="199"/>
      <c r="C71" s="199"/>
      <c r="D71" s="168">
        <v>2018</v>
      </c>
      <c r="E71" s="167">
        <f>SUM(F71:M71)</f>
        <v>3137</v>
      </c>
      <c r="F71" s="375">
        <v>33</v>
      </c>
      <c r="G71" s="376">
        <v>112</v>
      </c>
      <c r="H71" s="376">
        <v>3</v>
      </c>
      <c r="I71" s="376">
        <v>1344</v>
      </c>
      <c r="J71" s="376"/>
      <c r="K71" s="376">
        <v>1</v>
      </c>
      <c r="L71" s="376">
        <v>1124</v>
      </c>
      <c r="M71" s="376">
        <v>520</v>
      </c>
    </row>
    <row r="72" spans="1:13" ht="8.1" customHeight="1" thickBot="1" x14ac:dyDescent="0.3">
      <c r="A72" s="50"/>
      <c r="B72" s="201"/>
      <c r="C72" s="201"/>
      <c r="D72" s="187"/>
      <c r="E72" s="12"/>
      <c r="F72" s="12"/>
      <c r="G72" s="12"/>
      <c r="H72" s="12"/>
      <c r="I72" s="12"/>
      <c r="J72" s="12"/>
      <c r="K72" s="12"/>
      <c r="L72" s="12"/>
      <c r="M72" s="202"/>
    </row>
    <row r="73" spans="1:13" x14ac:dyDescent="0.2">
      <c r="M73" s="190" t="s">
        <v>101</v>
      </c>
    </row>
    <row r="74" spans="1:13" x14ac:dyDescent="0.25">
      <c r="A74" s="451" t="s">
        <v>265</v>
      </c>
      <c r="M74" s="191" t="s">
        <v>1</v>
      </c>
    </row>
    <row r="75" spans="1:13" x14ac:dyDescent="0.25">
      <c r="A75" s="452" t="s">
        <v>266</v>
      </c>
      <c r="B75" s="453"/>
    </row>
    <row r="76" spans="1:13" x14ac:dyDescent="0.25">
      <c r="A76" s="455" t="s">
        <v>267</v>
      </c>
    </row>
    <row r="77" spans="1:13" x14ac:dyDescent="0.25">
      <c r="A77" s="452" t="s">
        <v>268</v>
      </c>
      <c r="B77" s="453"/>
    </row>
    <row r="78" spans="1:13" x14ac:dyDescent="0.25">
      <c r="A78" s="455" t="s">
        <v>269</v>
      </c>
    </row>
  </sheetData>
  <mergeCells count="4">
    <mergeCell ref="B9:C9"/>
    <mergeCell ref="H9:I9"/>
    <mergeCell ref="K9:L9"/>
    <mergeCell ref="B10:C10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8" fitToWidth="0" orientation="portrait" r:id="rId1"/>
  <headerFooter>
    <oddHeader xml:space="preserve">&amp;R&amp;"-,Bold"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77"/>
  <sheetViews>
    <sheetView showGridLines="0" tabSelected="1" topLeftCell="A25" zoomScaleNormal="100" zoomScaleSheetLayoutView="100" workbookViewId="0">
      <pane xSplit="3" topLeftCell="J1" activePane="topRight" state="frozen"/>
      <selection activeCell="J23" sqref="J23"/>
      <selection pane="topRight" activeCell="J23" sqref="J23"/>
    </sheetView>
  </sheetViews>
  <sheetFormatPr defaultRowHeight="15" x14ac:dyDescent="0.25"/>
  <cols>
    <col min="1" max="1" width="1.42578125" style="2" customWidth="1"/>
    <col min="2" max="2" width="9.85546875" style="3" customWidth="1"/>
    <col min="3" max="3" width="12.5703125" style="3" customWidth="1"/>
    <col min="4" max="4" width="8.5703125" style="3" customWidth="1"/>
    <col min="5" max="5" width="8.7109375" style="21" customWidth="1"/>
    <col min="6" max="7" width="8.7109375" style="22" customWidth="1"/>
    <col min="8" max="8" width="10.7109375" style="427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9" ht="9.9499999999999993" customHeight="1" x14ac:dyDescent="0.25">
      <c r="B1" s="3" t="s">
        <v>203</v>
      </c>
    </row>
    <row r="2" spans="1:19" s="30" customFormat="1" ht="12.95" customHeight="1" x14ac:dyDescent="0.25">
      <c r="B2" s="27"/>
      <c r="C2" s="27"/>
      <c r="D2" s="29"/>
      <c r="E2" s="28"/>
      <c r="F2" s="29"/>
      <c r="H2" s="428"/>
      <c r="M2" s="181" t="s">
        <v>182</v>
      </c>
      <c r="N2" s="29"/>
    </row>
    <row r="3" spans="1:19" s="30" customFormat="1" ht="12.95" customHeight="1" x14ac:dyDescent="0.25">
      <c r="B3" s="27"/>
      <c r="C3" s="27"/>
      <c r="D3" s="29"/>
      <c r="E3" s="28"/>
      <c r="F3" s="29"/>
      <c r="H3" s="428"/>
      <c r="M3" s="71" t="s">
        <v>183</v>
      </c>
      <c r="N3" s="29"/>
    </row>
    <row r="4" spans="1:19" s="30" customFormat="1" ht="12" customHeight="1" x14ac:dyDescent="0.25">
      <c r="B4" s="27"/>
      <c r="C4" s="27"/>
      <c r="D4" s="29"/>
      <c r="E4" s="28"/>
      <c r="F4" s="29"/>
      <c r="G4" s="71"/>
      <c r="H4" s="428"/>
      <c r="N4" s="29"/>
    </row>
    <row r="5" spans="1:19" s="30" customFormat="1" ht="12" customHeight="1" x14ac:dyDescent="0.25">
      <c r="B5" s="27"/>
      <c r="C5" s="27"/>
      <c r="D5" s="29"/>
      <c r="E5" s="28"/>
      <c r="F5" s="29"/>
      <c r="G5" s="71"/>
      <c r="H5" s="428"/>
      <c r="N5" s="29"/>
    </row>
    <row r="6" spans="1:19" s="53" customFormat="1" ht="9.75" customHeight="1" x14ac:dyDescent="0.2">
      <c r="B6" s="118"/>
      <c r="C6" s="118"/>
      <c r="D6" s="213"/>
      <c r="E6" s="214"/>
      <c r="F6" s="213"/>
      <c r="G6" s="213"/>
      <c r="H6" s="429"/>
      <c r="I6" s="215"/>
      <c r="J6" s="215"/>
      <c r="K6" s="215"/>
      <c r="L6" s="215"/>
      <c r="M6" s="213"/>
      <c r="N6" s="117"/>
    </row>
    <row r="7" spans="1:19" s="53" customFormat="1" ht="15" customHeight="1" x14ac:dyDescent="0.2">
      <c r="B7" s="66" t="s">
        <v>192</v>
      </c>
      <c r="C7" s="67" t="s">
        <v>217</v>
      </c>
      <c r="D7" s="118"/>
      <c r="E7" s="67"/>
      <c r="F7" s="67"/>
      <c r="G7" s="67"/>
      <c r="H7" s="203"/>
      <c r="I7" s="67"/>
      <c r="J7" s="67"/>
      <c r="K7" s="67"/>
      <c r="L7" s="67"/>
      <c r="M7" s="67"/>
      <c r="N7" s="67"/>
    </row>
    <row r="8" spans="1:19" s="68" customFormat="1" ht="15" customHeight="1" x14ac:dyDescent="0.2">
      <c r="B8" s="69" t="s">
        <v>193</v>
      </c>
      <c r="C8" s="70" t="s">
        <v>218</v>
      </c>
      <c r="E8" s="70"/>
      <c r="F8" s="70"/>
      <c r="G8" s="70"/>
      <c r="H8" s="416"/>
      <c r="I8" s="70"/>
      <c r="J8" s="70"/>
      <c r="K8" s="70"/>
      <c r="L8" s="70"/>
      <c r="M8" s="70"/>
      <c r="N8" s="70"/>
    </row>
    <row r="9" spans="1:19" s="53" customFormat="1" ht="9.9499999999999993" customHeight="1" thickBot="1" x14ac:dyDescent="0.25">
      <c r="B9" s="118"/>
      <c r="C9" s="118"/>
      <c r="D9" s="118"/>
      <c r="E9" s="66"/>
      <c r="F9" s="117"/>
      <c r="G9" s="117"/>
      <c r="H9" s="429"/>
      <c r="I9" s="117"/>
      <c r="J9" s="117"/>
      <c r="K9" s="117"/>
      <c r="L9" s="117"/>
      <c r="M9" s="213"/>
    </row>
    <row r="10" spans="1:19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9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9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9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9" s="53" customFormat="1" ht="8.1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9" s="119" customFormat="1" ht="12.95" customHeight="1" x14ac:dyDescent="0.2">
      <c r="B15" s="112" t="s">
        <v>97</v>
      </c>
      <c r="C15" s="112"/>
      <c r="D15" s="306">
        <v>2016</v>
      </c>
      <c r="E15" s="166">
        <f>SUM(F15:M15)</f>
        <v>2820</v>
      </c>
      <c r="F15" s="166">
        <f>SUM(F19,F23,F27,F31,F35,F39,F43,F47,F51,F55,F59,F63,F67,F71)</f>
        <v>70</v>
      </c>
      <c r="G15" s="166">
        <f t="shared" ref="G15:M15" si="0">SUM(G19,G23,G27,G31,G35,G39,G43,G47,G51,G55,G59,G63,G67,G71)</f>
        <v>274</v>
      </c>
      <c r="H15" s="431">
        <f t="shared" ref="H15:I15" si="1">SUM(H19,H23,H27,H31,H35,H39,H43,H47,H51,H55,H59,H63,H67,H71)</f>
        <v>10</v>
      </c>
      <c r="I15" s="166">
        <f t="shared" si="1"/>
        <v>1308</v>
      </c>
      <c r="J15" s="166"/>
      <c r="K15" s="166">
        <f t="shared" ref="K15:L15" si="2">SUM(K19,K23,K27,K31,K35,K39,K43,K47,K51,K55,K59,K63,K67,K71)</f>
        <v>3</v>
      </c>
      <c r="L15" s="166">
        <f t="shared" si="2"/>
        <v>447</v>
      </c>
      <c r="M15" s="166">
        <f t="shared" si="0"/>
        <v>708</v>
      </c>
    </row>
    <row r="16" spans="1:19" s="119" customFormat="1" ht="12.95" customHeight="1" x14ac:dyDescent="0.2">
      <c r="B16" s="112"/>
      <c r="C16" s="112"/>
      <c r="D16" s="306">
        <v>2017</v>
      </c>
      <c r="E16" s="166">
        <f t="shared" ref="E16:E17" si="3">SUM(F16:M16)</f>
        <v>2578</v>
      </c>
      <c r="F16" s="166">
        <f t="shared" ref="F16:M17" si="4">SUM(F20,F24,F28,F32,F36,F40,F44,F48,F52,F56,F60,F64,F68,F72)</f>
        <v>66</v>
      </c>
      <c r="G16" s="166">
        <f t="shared" si="4"/>
        <v>196</v>
      </c>
      <c r="H16" s="431">
        <f t="shared" ref="H16:I16" si="5">SUM(H20,H24,H28,H32,H36,H40,H44,H48,H52,H56,H60,H64,H68,H72)</f>
        <v>1</v>
      </c>
      <c r="I16" s="166">
        <f t="shared" si="5"/>
        <v>1220</v>
      </c>
      <c r="J16" s="166"/>
      <c r="K16" s="143" t="s">
        <v>51</v>
      </c>
      <c r="L16" s="166">
        <f t="shared" ref="L16" si="6">SUM(L20,L24,L28,L32,L36,L40,L44,L48,L52,L56,L60,L64,L68,L72)</f>
        <v>481</v>
      </c>
      <c r="M16" s="166">
        <f t="shared" si="4"/>
        <v>614</v>
      </c>
      <c r="O16" s="217"/>
      <c r="P16" s="217"/>
      <c r="Q16" s="217"/>
      <c r="R16" s="217"/>
      <c r="S16" s="217"/>
    </row>
    <row r="17" spans="2:19" s="119" customFormat="1" ht="12.95" customHeight="1" x14ac:dyDescent="0.2">
      <c r="B17" s="112"/>
      <c r="C17" s="112"/>
      <c r="D17" s="306">
        <v>2018</v>
      </c>
      <c r="E17" s="166">
        <f t="shared" si="3"/>
        <v>1853</v>
      </c>
      <c r="F17" s="166">
        <f t="shared" si="4"/>
        <v>43</v>
      </c>
      <c r="G17" s="166">
        <f t="shared" si="4"/>
        <v>187</v>
      </c>
      <c r="H17" s="431">
        <f t="shared" ref="H17:I17" si="7">SUM(H21,H25,H29,H33,H37,H41,H45,H49,H53,H57,H61,H65,H69,H73)</f>
        <v>2</v>
      </c>
      <c r="I17" s="166">
        <f t="shared" si="7"/>
        <v>719</v>
      </c>
      <c r="J17" s="166"/>
      <c r="K17" s="143" t="s">
        <v>51</v>
      </c>
      <c r="L17" s="166">
        <f t="shared" ref="L17" si="8">SUM(L21,L25,L29,L33,L37,L41,L45,L49,L53,L57,L61,L65,L69,L73)</f>
        <v>324</v>
      </c>
      <c r="M17" s="166">
        <f t="shared" si="4"/>
        <v>578</v>
      </c>
      <c r="O17" s="217"/>
      <c r="P17" s="217"/>
      <c r="Q17" s="217"/>
      <c r="R17" s="217"/>
      <c r="S17" s="217"/>
    </row>
    <row r="18" spans="2:19" s="119" customFormat="1" ht="8.1" customHeight="1" x14ac:dyDescent="0.2">
      <c r="B18" s="112"/>
      <c r="C18" s="112"/>
      <c r="D18" s="306"/>
      <c r="E18" s="166"/>
      <c r="F18" s="166"/>
      <c r="G18" s="166"/>
      <c r="H18" s="431"/>
      <c r="I18" s="166"/>
      <c r="J18" s="166"/>
      <c r="K18" s="166"/>
      <c r="L18" s="166"/>
      <c r="M18" s="166"/>
      <c r="O18" s="217"/>
      <c r="P18" s="217"/>
      <c r="Q18" s="217"/>
      <c r="R18" s="217"/>
      <c r="S18" s="217"/>
    </row>
    <row r="19" spans="2:19" s="119" customFormat="1" ht="12.95" customHeight="1" x14ac:dyDescent="0.2">
      <c r="B19" s="111" t="s">
        <v>2</v>
      </c>
      <c r="C19" s="111"/>
      <c r="D19" s="307">
        <v>2016</v>
      </c>
      <c r="E19" s="167">
        <f>SUM(F19:M19)</f>
        <v>160</v>
      </c>
      <c r="F19" s="167">
        <v>6</v>
      </c>
      <c r="G19" s="167">
        <v>29</v>
      </c>
      <c r="H19" s="179">
        <v>1</v>
      </c>
      <c r="I19" s="167">
        <v>56</v>
      </c>
      <c r="J19" s="165"/>
      <c r="K19" s="167">
        <v>1</v>
      </c>
      <c r="L19" s="167">
        <v>28</v>
      </c>
      <c r="M19" s="167">
        <v>39</v>
      </c>
      <c r="O19" s="217"/>
      <c r="P19" s="217"/>
      <c r="Q19" s="217"/>
      <c r="R19" s="217"/>
      <c r="S19" s="217"/>
    </row>
    <row r="20" spans="2:19" s="119" customFormat="1" ht="12.95" customHeight="1" x14ac:dyDescent="0.2">
      <c r="B20" s="111"/>
      <c r="C20" s="111"/>
      <c r="D20" s="307">
        <v>2017</v>
      </c>
      <c r="E20" s="167">
        <f t="shared" ref="E20:E21" si="9">SUM(F20:M20)</f>
        <v>123</v>
      </c>
      <c r="F20" s="167" t="s">
        <v>51</v>
      </c>
      <c r="G20" s="167">
        <v>23</v>
      </c>
      <c r="H20" s="432" t="s">
        <v>51</v>
      </c>
      <c r="I20" s="167">
        <v>47</v>
      </c>
      <c r="J20" s="165"/>
      <c r="K20" s="165" t="s">
        <v>51</v>
      </c>
      <c r="L20" s="167">
        <v>12</v>
      </c>
      <c r="M20" s="167">
        <v>41</v>
      </c>
      <c r="O20" s="217"/>
      <c r="P20" s="217"/>
      <c r="Q20" s="217"/>
      <c r="R20" s="217"/>
      <c r="S20" s="217"/>
    </row>
    <row r="21" spans="2:19" s="119" customFormat="1" ht="12.95" customHeight="1" x14ac:dyDescent="0.2">
      <c r="B21" s="111"/>
      <c r="C21" s="111"/>
      <c r="D21" s="307">
        <v>2018</v>
      </c>
      <c r="E21" s="167">
        <f t="shared" si="9"/>
        <v>104</v>
      </c>
      <c r="F21" s="165">
        <v>3</v>
      </c>
      <c r="G21" s="167">
        <v>13</v>
      </c>
      <c r="H21" s="432" t="s">
        <v>51</v>
      </c>
      <c r="I21" s="167">
        <v>33</v>
      </c>
      <c r="J21" s="165"/>
      <c r="K21" s="165" t="s">
        <v>51</v>
      </c>
      <c r="L21" s="167">
        <v>27</v>
      </c>
      <c r="M21" s="167">
        <v>28</v>
      </c>
      <c r="O21" s="217"/>
      <c r="P21" s="217"/>
      <c r="Q21" s="217"/>
      <c r="R21" s="217"/>
      <c r="S21" s="217"/>
    </row>
    <row r="22" spans="2:19" s="119" customFormat="1" ht="8.1" customHeight="1" x14ac:dyDescent="0.2">
      <c r="B22" s="111"/>
      <c r="C22" s="111"/>
      <c r="D22" s="307"/>
      <c r="E22" s="167"/>
      <c r="F22" s="165"/>
      <c r="G22" s="167"/>
      <c r="H22" s="432"/>
      <c r="I22" s="165"/>
      <c r="J22" s="165"/>
      <c r="K22" s="165"/>
      <c r="L22" s="165"/>
      <c r="M22" s="167"/>
      <c r="O22" s="217"/>
      <c r="P22" s="217"/>
      <c r="Q22" s="217"/>
      <c r="R22" s="217"/>
      <c r="S22" s="217"/>
    </row>
    <row r="23" spans="2:19" s="218" customFormat="1" ht="12.95" customHeight="1" x14ac:dyDescent="0.2">
      <c r="B23" s="111" t="s">
        <v>52</v>
      </c>
      <c r="C23" s="111"/>
      <c r="D23" s="307">
        <v>2016</v>
      </c>
      <c r="E23" s="165" t="s">
        <v>51</v>
      </c>
      <c r="F23" s="165" t="s">
        <v>51</v>
      </c>
      <c r="G23" s="165" t="s">
        <v>51</v>
      </c>
      <c r="H23" s="432" t="s">
        <v>51</v>
      </c>
      <c r="I23" s="165" t="s">
        <v>51</v>
      </c>
      <c r="J23" s="165"/>
      <c r="K23" s="165" t="s">
        <v>51</v>
      </c>
      <c r="L23" s="165" t="s">
        <v>51</v>
      </c>
      <c r="M23" s="165" t="s">
        <v>51</v>
      </c>
      <c r="N23" s="119"/>
      <c r="O23" s="119"/>
      <c r="P23" s="119"/>
    </row>
    <row r="24" spans="2:19" s="119" customFormat="1" ht="12.95" customHeight="1" x14ac:dyDescent="0.2">
      <c r="B24" s="111"/>
      <c r="C24" s="111"/>
      <c r="D24" s="307">
        <v>2017</v>
      </c>
      <c r="E24" s="167">
        <f t="shared" ref="E24:E25" si="10">SUM(F24:M24)</f>
        <v>195</v>
      </c>
      <c r="F24" s="165">
        <v>4</v>
      </c>
      <c r="G24" s="165">
        <v>9</v>
      </c>
      <c r="H24" s="432" t="s">
        <v>51</v>
      </c>
      <c r="I24" s="165">
        <v>102</v>
      </c>
      <c r="J24" s="165"/>
      <c r="K24" s="165" t="s">
        <v>51</v>
      </c>
      <c r="L24" s="165">
        <v>26</v>
      </c>
      <c r="M24" s="165">
        <v>54</v>
      </c>
    </row>
    <row r="25" spans="2:19" s="119" customFormat="1" ht="12.95" customHeight="1" x14ac:dyDescent="0.2">
      <c r="B25" s="111"/>
      <c r="C25" s="111"/>
      <c r="D25" s="307">
        <v>2018</v>
      </c>
      <c r="E25" s="167">
        <f t="shared" si="10"/>
        <v>149</v>
      </c>
      <c r="F25" s="165">
        <v>4</v>
      </c>
      <c r="G25" s="165">
        <v>13</v>
      </c>
      <c r="H25" s="432" t="s">
        <v>51</v>
      </c>
      <c r="I25" s="165">
        <v>53</v>
      </c>
      <c r="J25" s="165"/>
      <c r="K25" s="165" t="s">
        <v>51</v>
      </c>
      <c r="L25" s="165">
        <v>18</v>
      </c>
      <c r="M25" s="165">
        <v>61</v>
      </c>
    </row>
    <row r="26" spans="2:19" s="119" customFormat="1" ht="8.1" customHeight="1" x14ac:dyDescent="0.2">
      <c r="B26" s="111"/>
      <c r="C26" s="111"/>
      <c r="D26" s="307"/>
      <c r="E26" s="165"/>
      <c r="F26" s="165"/>
      <c r="G26" s="165"/>
      <c r="H26" s="432"/>
      <c r="I26" s="165"/>
      <c r="J26" s="165"/>
      <c r="K26" s="165"/>
      <c r="L26" s="165"/>
      <c r="M26" s="165"/>
    </row>
    <row r="27" spans="2:19" s="119" customFormat="1" ht="12.95" customHeight="1" x14ac:dyDescent="0.2">
      <c r="B27" s="111" t="s">
        <v>53</v>
      </c>
      <c r="C27" s="111"/>
      <c r="D27" s="307">
        <v>2016</v>
      </c>
      <c r="E27" s="167">
        <f>SUM(F27:M27)</f>
        <v>977</v>
      </c>
      <c r="F27" s="167">
        <v>15</v>
      </c>
      <c r="G27" s="167">
        <v>42</v>
      </c>
      <c r="H27" s="179">
        <v>5</v>
      </c>
      <c r="I27" s="167">
        <v>506</v>
      </c>
      <c r="J27" s="165"/>
      <c r="K27" s="167">
        <v>2</v>
      </c>
      <c r="L27" s="167">
        <v>207</v>
      </c>
      <c r="M27" s="167">
        <v>200</v>
      </c>
    </row>
    <row r="28" spans="2:19" s="119" customFormat="1" ht="12.95" customHeight="1" x14ac:dyDescent="0.2">
      <c r="B28" s="111"/>
      <c r="C28" s="111"/>
      <c r="D28" s="307">
        <v>2017</v>
      </c>
      <c r="E28" s="167">
        <f t="shared" ref="E28:E29" si="11">SUM(F28:M28)</f>
        <v>956</v>
      </c>
      <c r="F28" s="167">
        <v>23</v>
      </c>
      <c r="G28" s="167">
        <v>28</v>
      </c>
      <c r="H28" s="432" t="s">
        <v>51</v>
      </c>
      <c r="I28" s="167">
        <v>528</v>
      </c>
      <c r="J28" s="165"/>
      <c r="K28" s="165" t="s">
        <v>51</v>
      </c>
      <c r="L28" s="167">
        <v>207</v>
      </c>
      <c r="M28" s="167">
        <v>170</v>
      </c>
    </row>
    <row r="29" spans="2:19" s="119" customFormat="1" ht="12.95" customHeight="1" x14ac:dyDescent="0.2">
      <c r="B29" s="111"/>
      <c r="C29" s="111"/>
      <c r="D29" s="307">
        <v>2018</v>
      </c>
      <c r="E29" s="167">
        <f t="shared" si="11"/>
        <v>474</v>
      </c>
      <c r="F29" s="167">
        <v>9</v>
      </c>
      <c r="G29" s="167">
        <v>24</v>
      </c>
      <c r="H29" s="179">
        <v>1</v>
      </c>
      <c r="I29" s="167">
        <v>217</v>
      </c>
      <c r="J29" s="165"/>
      <c r="K29" s="165" t="s">
        <v>51</v>
      </c>
      <c r="L29" s="167">
        <v>108</v>
      </c>
      <c r="M29" s="167">
        <v>115</v>
      </c>
    </row>
    <row r="30" spans="2:19" s="119" customFormat="1" ht="8.1" customHeight="1" x14ac:dyDescent="0.2">
      <c r="B30" s="111"/>
      <c r="C30" s="111"/>
      <c r="D30" s="307"/>
      <c r="E30" s="167"/>
      <c r="F30" s="167"/>
      <c r="G30" s="167"/>
      <c r="H30" s="432"/>
      <c r="I30" s="165"/>
      <c r="J30" s="165"/>
      <c r="K30" s="165"/>
      <c r="L30" s="165"/>
      <c r="M30" s="167"/>
    </row>
    <row r="31" spans="2:19" s="119" customFormat="1" ht="12.95" customHeight="1" x14ac:dyDescent="0.2">
      <c r="B31" s="111" t="s">
        <v>54</v>
      </c>
      <c r="C31" s="111"/>
      <c r="D31" s="307">
        <v>2016</v>
      </c>
      <c r="E31" s="167">
        <f>SUM(F31:M31)</f>
        <v>528</v>
      </c>
      <c r="F31" s="165">
        <v>7</v>
      </c>
      <c r="G31" s="165">
        <v>23</v>
      </c>
      <c r="H31" s="432" t="s">
        <v>51</v>
      </c>
      <c r="I31" s="165">
        <v>283</v>
      </c>
      <c r="J31" s="165"/>
      <c r="K31" s="165" t="s">
        <v>51</v>
      </c>
      <c r="L31" s="165">
        <v>86</v>
      </c>
      <c r="M31" s="165">
        <v>129</v>
      </c>
    </row>
    <row r="32" spans="2:19" s="119" customFormat="1" ht="12.95" customHeight="1" x14ac:dyDescent="0.2">
      <c r="B32" s="111"/>
      <c r="C32" s="111"/>
      <c r="D32" s="307">
        <v>2017</v>
      </c>
      <c r="E32" s="167">
        <f t="shared" ref="E32:E33" si="12">SUM(F32:M32)</f>
        <v>412</v>
      </c>
      <c r="F32" s="165">
        <v>8</v>
      </c>
      <c r="G32" s="165">
        <v>16</v>
      </c>
      <c r="H32" s="432">
        <v>1</v>
      </c>
      <c r="I32" s="165">
        <v>202</v>
      </c>
      <c r="J32" s="165"/>
      <c r="K32" s="165" t="s">
        <v>51</v>
      </c>
      <c r="L32" s="165">
        <v>89</v>
      </c>
      <c r="M32" s="165">
        <v>96</v>
      </c>
    </row>
    <row r="33" spans="2:13" s="119" customFormat="1" ht="12.95" customHeight="1" x14ac:dyDescent="0.2">
      <c r="B33" s="111"/>
      <c r="C33" s="111"/>
      <c r="D33" s="307">
        <v>2018</v>
      </c>
      <c r="E33" s="167">
        <f t="shared" si="12"/>
        <v>343</v>
      </c>
      <c r="F33" s="165">
        <v>5</v>
      </c>
      <c r="G33" s="165">
        <v>19</v>
      </c>
      <c r="H33" s="432">
        <v>1</v>
      </c>
      <c r="I33" s="165">
        <v>148</v>
      </c>
      <c r="J33" s="165"/>
      <c r="K33" s="165" t="s">
        <v>51</v>
      </c>
      <c r="L33" s="165">
        <v>68</v>
      </c>
      <c r="M33" s="165">
        <v>102</v>
      </c>
    </row>
    <row r="34" spans="2:13" s="119" customFormat="1" ht="8.1" customHeight="1" x14ac:dyDescent="0.2">
      <c r="B34" s="111"/>
      <c r="C34" s="111"/>
      <c r="D34" s="307"/>
      <c r="E34" s="165"/>
      <c r="F34" s="165"/>
      <c r="G34" s="165"/>
      <c r="H34" s="432"/>
      <c r="I34" s="165"/>
      <c r="J34" s="165"/>
      <c r="K34" s="165"/>
      <c r="L34" s="165"/>
      <c r="M34" s="165"/>
    </row>
    <row r="35" spans="2:13" s="119" customFormat="1" ht="12.95" customHeight="1" x14ac:dyDescent="0.2">
      <c r="B35" s="111" t="s">
        <v>3</v>
      </c>
      <c r="C35" s="111"/>
      <c r="D35" s="307">
        <v>2016</v>
      </c>
      <c r="E35" s="167">
        <f>SUM(F35:M35)</f>
        <v>156</v>
      </c>
      <c r="F35" s="167">
        <v>4</v>
      </c>
      <c r="G35" s="167">
        <v>37</v>
      </c>
      <c r="H35" s="179">
        <v>2</v>
      </c>
      <c r="I35" s="167">
        <v>47</v>
      </c>
      <c r="J35" s="165"/>
      <c r="K35" s="165" t="s">
        <v>51</v>
      </c>
      <c r="L35" s="167">
        <v>8</v>
      </c>
      <c r="M35" s="167">
        <v>58</v>
      </c>
    </row>
    <row r="36" spans="2:13" s="119" customFormat="1" ht="12.95" customHeight="1" x14ac:dyDescent="0.2">
      <c r="B36" s="111"/>
      <c r="C36" s="111"/>
      <c r="D36" s="307">
        <v>2017</v>
      </c>
      <c r="E36" s="167">
        <f t="shared" ref="E36:E37" si="13">SUM(F36:M36)</f>
        <v>117</v>
      </c>
      <c r="F36" s="167">
        <v>1</v>
      </c>
      <c r="G36" s="167">
        <v>24</v>
      </c>
      <c r="H36" s="432" t="s">
        <v>51</v>
      </c>
      <c r="I36" s="167">
        <v>32</v>
      </c>
      <c r="J36" s="165"/>
      <c r="K36" s="165" t="s">
        <v>51</v>
      </c>
      <c r="L36" s="167">
        <v>15</v>
      </c>
      <c r="M36" s="167">
        <v>45</v>
      </c>
    </row>
    <row r="37" spans="2:13" s="119" customFormat="1" ht="12.95" customHeight="1" x14ac:dyDescent="0.2">
      <c r="B37" s="111"/>
      <c r="C37" s="111"/>
      <c r="D37" s="307">
        <v>2018</v>
      </c>
      <c r="E37" s="167">
        <f t="shared" si="13"/>
        <v>125</v>
      </c>
      <c r="F37" s="167">
        <v>1</v>
      </c>
      <c r="G37" s="167">
        <v>18</v>
      </c>
      <c r="H37" s="432" t="s">
        <v>51</v>
      </c>
      <c r="I37" s="167">
        <v>34</v>
      </c>
      <c r="J37" s="165"/>
      <c r="K37" s="165" t="s">
        <v>51</v>
      </c>
      <c r="L37" s="167">
        <v>15</v>
      </c>
      <c r="M37" s="167">
        <v>57</v>
      </c>
    </row>
    <row r="38" spans="2:13" s="119" customFormat="1" ht="8.1" customHeight="1" x14ac:dyDescent="0.2">
      <c r="B38" s="111"/>
      <c r="C38" s="111"/>
      <c r="D38" s="307"/>
      <c r="E38" s="167"/>
      <c r="F38" s="167"/>
      <c r="G38" s="167"/>
      <c r="H38" s="432"/>
      <c r="I38" s="165"/>
      <c r="J38" s="165"/>
      <c r="K38" s="165"/>
      <c r="L38" s="165"/>
      <c r="M38" s="167"/>
    </row>
    <row r="39" spans="2:13" s="119" customFormat="1" ht="12.95" customHeight="1" x14ac:dyDescent="0.2">
      <c r="B39" s="111" t="s">
        <v>4</v>
      </c>
      <c r="C39" s="111"/>
      <c r="D39" s="307">
        <v>2016</v>
      </c>
      <c r="E39" s="167">
        <f>SUM(F39:M39)</f>
        <v>109</v>
      </c>
      <c r="F39" s="165">
        <v>8</v>
      </c>
      <c r="G39" s="165">
        <v>19</v>
      </c>
      <c r="H39" s="432" t="s">
        <v>51</v>
      </c>
      <c r="I39" s="165">
        <v>50</v>
      </c>
      <c r="J39" s="165"/>
      <c r="K39" s="165" t="s">
        <v>51</v>
      </c>
      <c r="L39" s="165">
        <v>21</v>
      </c>
      <c r="M39" s="165">
        <v>11</v>
      </c>
    </row>
    <row r="40" spans="2:13" s="119" customFormat="1" ht="12.95" customHeight="1" x14ac:dyDescent="0.2">
      <c r="B40" s="111"/>
      <c r="C40" s="111"/>
      <c r="D40" s="307">
        <v>2017</v>
      </c>
      <c r="E40" s="167">
        <f t="shared" ref="E40:E41" si="14">SUM(F40:M40)</f>
        <v>89</v>
      </c>
      <c r="F40" s="165">
        <v>7</v>
      </c>
      <c r="G40" s="165">
        <v>13</v>
      </c>
      <c r="H40" s="432" t="s">
        <v>51</v>
      </c>
      <c r="I40" s="165">
        <v>33</v>
      </c>
      <c r="J40" s="165"/>
      <c r="K40" s="165" t="s">
        <v>51</v>
      </c>
      <c r="L40" s="165">
        <v>15</v>
      </c>
      <c r="M40" s="165">
        <v>21</v>
      </c>
    </row>
    <row r="41" spans="2:13" s="119" customFormat="1" ht="12.95" customHeight="1" x14ac:dyDescent="0.2">
      <c r="B41" s="111"/>
      <c r="C41" s="111"/>
      <c r="D41" s="307">
        <v>2018</v>
      </c>
      <c r="E41" s="167">
        <f t="shared" si="14"/>
        <v>40</v>
      </c>
      <c r="F41" s="165">
        <v>2</v>
      </c>
      <c r="G41" s="165">
        <v>8</v>
      </c>
      <c r="H41" s="432" t="s">
        <v>51</v>
      </c>
      <c r="I41" s="432" t="s">
        <v>51</v>
      </c>
      <c r="J41" s="165"/>
      <c r="K41" s="432" t="s">
        <v>51</v>
      </c>
      <c r="L41" s="432" t="s">
        <v>51</v>
      </c>
      <c r="M41" s="165">
        <v>30</v>
      </c>
    </row>
    <row r="42" spans="2:13" s="119" customFormat="1" ht="8.1" customHeight="1" x14ac:dyDescent="0.2">
      <c r="B42" s="111"/>
      <c r="C42" s="111"/>
      <c r="D42" s="307"/>
      <c r="E42" s="165"/>
      <c r="F42" s="165"/>
      <c r="G42" s="165"/>
      <c r="H42" s="432"/>
      <c r="I42" s="165"/>
      <c r="J42" s="165"/>
      <c r="K42" s="165"/>
      <c r="L42" s="165"/>
      <c r="M42" s="165"/>
    </row>
    <row r="43" spans="2:13" s="119" customFormat="1" ht="12.95" customHeight="1" x14ac:dyDescent="0.2">
      <c r="B43" s="111" t="s">
        <v>9</v>
      </c>
      <c r="C43" s="111"/>
      <c r="D43" s="307">
        <v>2016</v>
      </c>
      <c r="E43" s="167">
        <f>SUM(F43:M43)</f>
        <v>156</v>
      </c>
      <c r="F43" s="167">
        <v>7</v>
      </c>
      <c r="G43" s="167">
        <v>4</v>
      </c>
      <c r="H43" s="432" t="s">
        <v>51</v>
      </c>
      <c r="I43" s="167">
        <v>76</v>
      </c>
      <c r="J43" s="165"/>
      <c r="K43" s="165" t="s">
        <v>51</v>
      </c>
      <c r="L43" s="167">
        <v>22</v>
      </c>
      <c r="M43" s="167">
        <v>47</v>
      </c>
    </row>
    <row r="44" spans="2:13" s="119" customFormat="1" ht="12.95" customHeight="1" x14ac:dyDescent="0.2">
      <c r="B44" s="111"/>
      <c r="C44" s="111"/>
      <c r="D44" s="307">
        <v>2017</v>
      </c>
      <c r="E44" s="167">
        <f t="shared" ref="E44:E45" si="15">SUM(F44:M44)</f>
        <v>209</v>
      </c>
      <c r="F44" s="167">
        <v>6</v>
      </c>
      <c r="G44" s="167">
        <v>11</v>
      </c>
      <c r="H44" s="432" t="s">
        <v>51</v>
      </c>
      <c r="I44" s="167">
        <v>75</v>
      </c>
      <c r="J44" s="165"/>
      <c r="K44" s="165" t="s">
        <v>51</v>
      </c>
      <c r="L44" s="167">
        <v>64</v>
      </c>
      <c r="M44" s="167">
        <v>53</v>
      </c>
    </row>
    <row r="45" spans="2:13" s="119" customFormat="1" ht="12.95" customHeight="1" x14ac:dyDescent="0.2">
      <c r="B45" s="111"/>
      <c r="C45" s="111"/>
      <c r="D45" s="307">
        <v>2018</v>
      </c>
      <c r="E45" s="167">
        <f t="shared" si="15"/>
        <v>202</v>
      </c>
      <c r="F45" s="167">
        <v>7</v>
      </c>
      <c r="G45" s="167">
        <v>20</v>
      </c>
      <c r="H45" s="432" t="s">
        <v>51</v>
      </c>
      <c r="I45" s="167">
        <v>88</v>
      </c>
      <c r="J45" s="165"/>
      <c r="K45" s="165" t="s">
        <v>51</v>
      </c>
      <c r="L45" s="167">
        <v>40</v>
      </c>
      <c r="M45" s="167">
        <v>47</v>
      </c>
    </row>
    <row r="46" spans="2:13" s="119" customFormat="1" ht="8.1" customHeight="1" x14ac:dyDescent="0.2">
      <c r="B46" s="111"/>
      <c r="C46" s="111"/>
      <c r="D46" s="307"/>
      <c r="E46" s="167"/>
      <c r="F46" s="167"/>
      <c r="G46" s="167"/>
      <c r="H46" s="432"/>
      <c r="I46" s="165"/>
      <c r="J46" s="165"/>
      <c r="K46" s="165"/>
      <c r="L46" s="165"/>
      <c r="M46" s="167"/>
    </row>
    <row r="47" spans="2:13" s="119" customFormat="1" ht="12.95" customHeight="1" x14ac:dyDescent="0.2">
      <c r="B47" s="111" t="s">
        <v>10</v>
      </c>
      <c r="C47" s="111"/>
      <c r="D47" s="307">
        <v>2016</v>
      </c>
      <c r="E47" s="167">
        <f>SUM(F47:M47)</f>
        <v>50</v>
      </c>
      <c r="F47" s="165">
        <v>1</v>
      </c>
      <c r="G47" s="165">
        <v>12</v>
      </c>
      <c r="H47" s="432" t="s">
        <v>51</v>
      </c>
      <c r="I47" s="165">
        <v>15</v>
      </c>
      <c r="J47" s="165"/>
      <c r="K47" s="165" t="s">
        <v>51</v>
      </c>
      <c r="L47" s="165">
        <v>5</v>
      </c>
      <c r="M47" s="165">
        <v>17</v>
      </c>
    </row>
    <row r="48" spans="2:13" s="119" customFormat="1" ht="12.95" customHeight="1" x14ac:dyDescent="0.2">
      <c r="B48" s="111"/>
      <c r="C48" s="111"/>
      <c r="D48" s="307">
        <v>2017</v>
      </c>
      <c r="E48" s="167">
        <f t="shared" ref="E48:E49" si="16">SUM(F48:M48)</f>
        <v>44</v>
      </c>
      <c r="F48" s="165">
        <v>1</v>
      </c>
      <c r="G48" s="165">
        <v>8</v>
      </c>
      <c r="H48" s="432" t="s">
        <v>51</v>
      </c>
      <c r="I48" s="165">
        <v>21</v>
      </c>
      <c r="J48" s="165"/>
      <c r="K48" s="165" t="s">
        <v>51</v>
      </c>
      <c r="L48" s="165">
        <v>4</v>
      </c>
      <c r="M48" s="165">
        <v>10</v>
      </c>
    </row>
    <row r="49" spans="2:19" s="119" customFormat="1" ht="12.95" customHeight="1" x14ac:dyDescent="0.2">
      <c r="B49" s="111"/>
      <c r="C49" s="111"/>
      <c r="D49" s="307">
        <v>2018</v>
      </c>
      <c r="E49" s="167">
        <f t="shared" si="16"/>
        <v>33</v>
      </c>
      <c r="F49" s="165">
        <v>2</v>
      </c>
      <c r="G49" s="165">
        <v>13</v>
      </c>
      <c r="H49" s="432" t="s">
        <v>51</v>
      </c>
      <c r="I49" s="165">
        <v>3</v>
      </c>
      <c r="J49" s="165"/>
      <c r="K49" s="165" t="s">
        <v>51</v>
      </c>
      <c r="L49" s="165">
        <v>2</v>
      </c>
      <c r="M49" s="165">
        <v>13</v>
      </c>
    </row>
    <row r="50" spans="2:19" s="119" customFormat="1" ht="8.1" customHeight="1" x14ac:dyDescent="0.2">
      <c r="B50" s="111"/>
      <c r="C50" s="111"/>
      <c r="D50" s="307"/>
      <c r="E50" s="165"/>
      <c r="F50" s="165"/>
      <c r="G50" s="165"/>
      <c r="H50" s="432"/>
      <c r="I50" s="165"/>
      <c r="J50" s="165"/>
      <c r="K50" s="165"/>
      <c r="L50" s="165"/>
      <c r="M50" s="165"/>
    </row>
    <row r="51" spans="2:19" s="119" customFormat="1" ht="12.95" customHeight="1" x14ac:dyDescent="0.2">
      <c r="B51" s="111" t="s">
        <v>5</v>
      </c>
      <c r="C51" s="111"/>
      <c r="D51" s="307">
        <v>2016</v>
      </c>
      <c r="E51" s="167">
        <f>SUM(F51:M51)</f>
        <v>42</v>
      </c>
      <c r="F51" s="167">
        <v>1</v>
      </c>
      <c r="G51" s="167">
        <v>9</v>
      </c>
      <c r="H51" s="432" t="s">
        <v>51</v>
      </c>
      <c r="I51" s="167">
        <v>17</v>
      </c>
      <c r="J51" s="165"/>
      <c r="K51" s="165" t="s">
        <v>51</v>
      </c>
      <c r="L51" s="167">
        <v>8</v>
      </c>
      <c r="M51" s="167">
        <v>7</v>
      </c>
    </row>
    <row r="52" spans="2:19" s="119" customFormat="1" ht="12.95" customHeight="1" x14ac:dyDescent="0.2">
      <c r="B52" s="111"/>
      <c r="C52" s="111"/>
      <c r="D52" s="307">
        <v>2017</v>
      </c>
      <c r="E52" s="167">
        <f t="shared" ref="E52:E53" si="17">SUM(F52:M52)</f>
        <v>31</v>
      </c>
      <c r="F52" s="167">
        <v>1</v>
      </c>
      <c r="G52" s="167">
        <v>6</v>
      </c>
      <c r="H52" s="432" t="s">
        <v>51</v>
      </c>
      <c r="I52" s="167">
        <v>9</v>
      </c>
      <c r="J52" s="165"/>
      <c r="K52" s="165" t="s">
        <v>51</v>
      </c>
      <c r="L52" s="167">
        <v>3</v>
      </c>
      <c r="M52" s="167">
        <v>12</v>
      </c>
    </row>
    <row r="53" spans="2:19" s="119" customFormat="1" ht="12.95" customHeight="1" x14ac:dyDescent="0.2">
      <c r="B53" s="111"/>
      <c r="C53" s="111"/>
      <c r="D53" s="307">
        <v>2018</v>
      </c>
      <c r="E53" s="167">
        <f t="shared" si="17"/>
        <v>29</v>
      </c>
      <c r="F53" s="167" t="s">
        <v>51</v>
      </c>
      <c r="G53" s="167">
        <v>9</v>
      </c>
      <c r="H53" s="432" t="s">
        <v>51</v>
      </c>
      <c r="I53" s="167">
        <v>7</v>
      </c>
      <c r="J53" s="165"/>
      <c r="K53" s="165" t="s">
        <v>51</v>
      </c>
      <c r="L53" s="167">
        <v>4</v>
      </c>
      <c r="M53" s="167">
        <v>9</v>
      </c>
    </row>
    <row r="54" spans="2:19" s="119" customFormat="1" ht="8.1" customHeight="1" x14ac:dyDescent="0.2">
      <c r="B54" s="111"/>
      <c r="C54" s="111"/>
      <c r="D54" s="307"/>
      <c r="E54" s="167"/>
      <c r="F54" s="167"/>
      <c r="G54" s="167"/>
      <c r="H54" s="432"/>
      <c r="I54" s="165"/>
      <c r="J54" s="165"/>
      <c r="K54" s="165"/>
      <c r="L54" s="165"/>
      <c r="M54" s="167"/>
    </row>
    <row r="55" spans="2:19" s="119" customFormat="1" ht="12.95" customHeight="1" x14ac:dyDescent="0.2">
      <c r="B55" s="111" t="s">
        <v>6</v>
      </c>
      <c r="C55" s="111"/>
      <c r="D55" s="307">
        <v>2016</v>
      </c>
      <c r="E55" s="167">
        <f>SUM(F55:M55)</f>
        <v>56</v>
      </c>
      <c r="F55" s="165">
        <v>7</v>
      </c>
      <c r="G55" s="165">
        <v>12</v>
      </c>
      <c r="H55" s="432">
        <v>1</v>
      </c>
      <c r="I55" s="165">
        <v>13</v>
      </c>
      <c r="J55" s="165"/>
      <c r="K55" s="165" t="s">
        <v>51</v>
      </c>
      <c r="L55" s="165">
        <v>4</v>
      </c>
      <c r="M55" s="165">
        <v>19</v>
      </c>
      <c r="O55" s="217"/>
      <c r="P55" s="217"/>
      <c r="Q55" s="217"/>
      <c r="R55" s="217"/>
      <c r="S55" s="217"/>
    </row>
    <row r="56" spans="2:19" s="119" customFormat="1" ht="12.95" customHeight="1" x14ac:dyDescent="0.2">
      <c r="B56" s="111"/>
      <c r="C56" s="111"/>
      <c r="D56" s="307">
        <v>2017</v>
      </c>
      <c r="E56" s="167">
        <f t="shared" ref="E56:E57" si="18">SUM(F56:M56)</f>
        <v>64</v>
      </c>
      <c r="F56" s="165">
        <v>2</v>
      </c>
      <c r="G56" s="165">
        <v>12</v>
      </c>
      <c r="H56" s="432" t="s">
        <v>51</v>
      </c>
      <c r="I56" s="165">
        <v>22</v>
      </c>
      <c r="J56" s="165"/>
      <c r="K56" s="165" t="s">
        <v>51</v>
      </c>
      <c r="L56" s="165">
        <v>9</v>
      </c>
      <c r="M56" s="165">
        <v>19</v>
      </c>
      <c r="O56" s="217"/>
      <c r="P56" s="217"/>
      <c r="Q56" s="217"/>
      <c r="R56" s="217"/>
      <c r="S56" s="217"/>
    </row>
    <row r="57" spans="2:19" s="119" customFormat="1" ht="12.95" customHeight="1" x14ac:dyDescent="0.2">
      <c r="B57" s="111"/>
      <c r="C57" s="111"/>
      <c r="D57" s="307">
        <v>2018</v>
      </c>
      <c r="E57" s="167">
        <f t="shared" si="18"/>
        <v>49</v>
      </c>
      <c r="F57" s="165">
        <v>2</v>
      </c>
      <c r="G57" s="165">
        <v>13</v>
      </c>
      <c r="H57" s="432" t="s">
        <v>51</v>
      </c>
      <c r="I57" s="165">
        <v>14</v>
      </c>
      <c r="J57" s="165"/>
      <c r="K57" s="165" t="s">
        <v>51</v>
      </c>
      <c r="L57" s="165">
        <v>3</v>
      </c>
      <c r="M57" s="165">
        <v>17</v>
      </c>
      <c r="O57" s="217"/>
      <c r="P57" s="217"/>
      <c r="Q57" s="217"/>
      <c r="R57" s="217"/>
      <c r="S57" s="217"/>
    </row>
    <row r="58" spans="2:19" s="119" customFormat="1" ht="8.1" customHeight="1" x14ac:dyDescent="0.2">
      <c r="B58" s="111"/>
      <c r="C58" s="111"/>
      <c r="D58" s="307"/>
      <c r="E58" s="165"/>
      <c r="F58" s="165"/>
      <c r="G58" s="165"/>
      <c r="H58" s="432"/>
      <c r="I58" s="165"/>
      <c r="J58" s="165"/>
      <c r="K58" s="165"/>
      <c r="L58" s="165"/>
      <c r="M58" s="165"/>
      <c r="O58" s="217"/>
      <c r="P58" s="217"/>
      <c r="Q58" s="217"/>
      <c r="R58" s="217"/>
      <c r="S58" s="217"/>
    </row>
    <row r="59" spans="2:19" s="119" customFormat="1" ht="12.95" customHeight="1" x14ac:dyDescent="0.2">
      <c r="B59" s="111" t="s">
        <v>55</v>
      </c>
      <c r="C59" s="111"/>
      <c r="D59" s="307">
        <v>2016</v>
      </c>
      <c r="E59" s="167">
        <f>SUM(F59:M59)</f>
        <v>193</v>
      </c>
      <c r="F59" s="167">
        <v>3</v>
      </c>
      <c r="G59" s="167">
        <v>21</v>
      </c>
      <c r="H59" s="179">
        <v>1</v>
      </c>
      <c r="I59" s="167">
        <v>80</v>
      </c>
      <c r="J59" s="165"/>
      <c r="K59" s="165" t="s">
        <v>51</v>
      </c>
      <c r="L59" s="167">
        <v>15</v>
      </c>
      <c r="M59" s="167">
        <v>73</v>
      </c>
      <c r="O59" s="217"/>
      <c r="P59" s="217"/>
      <c r="Q59" s="217"/>
      <c r="R59" s="217"/>
      <c r="S59" s="217"/>
    </row>
    <row r="60" spans="2:19" s="119" customFormat="1" ht="12.95" customHeight="1" x14ac:dyDescent="0.2">
      <c r="B60" s="111"/>
      <c r="C60" s="111"/>
      <c r="D60" s="307">
        <v>2017</v>
      </c>
      <c r="E60" s="167">
        <f t="shared" ref="E60" si="19">SUM(F60:M60)</f>
        <v>1</v>
      </c>
      <c r="F60" s="167" t="s">
        <v>51</v>
      </c>
      <c r="G60" s="167" t="s">
        <v>51</v>
      </c>
      <c r="H60" s="432" t="s">
        <v>51</v>
      </c>
      <c r="I60" s="165" t="s">
        <v>51</v>
      </c>
      <c r="J60" s="165"/>
      <c r="K60" s="165" t="s">
        <v>51</v>
      </c>
      <c r="L60" s="165" t="s">
        <v>51</v>
      </c>
      <c r="M60" s="167">
        <v>1</v>
      </c>
      <c r="O60" s="217"/>
      <c r="P60" s="217"/>
      <c r="Q60" s="217"/>
      <c r="R60" s="217"/>
      <c r="S60" s="217"/>
    </row>
    <row r="61" spans="2:19" s="119" customFormat="1" ht="12.95" customHeight="1" x14ac:dyDescent="0.25">
      <c r="B61" s="111"/>
      <c r="C61" s="111"/>
      <c r="D61" s="308">
        <v>2018</v>
      </c>
      <c r="E61" s="165" t="s">
        <v>51</v>
      </c>
      <c r="F61" s="165" t="s">
        <v>51</v>
      </c>
      <c r="G61" s="165" t="s">
        <v>51</v>
      </c>
      <c r="H61" s="432" t="s">
        <v>51</v>
      </c>
      <c r="I61" s="165" t="s">
        <v>51</v>
      </c>
      <c r="J61" s="165"/>
      <c r="K61" s="165" t="s">
        <v>51</v>
      </c>
      <c r="L61" s="165" t="s">
        <v>51</v>
      </c>
      <c r="M61" s="165" t="s">
        <v>51</v>
      </c>
      <c r="O61" s="217"/>
      <c r="P61" s="217"/>
      <c r="Q61" s="217"/>
      <c r="R61" s="217"/>
      <c r="S61" s="217"/>
    </row>
    <row r="62" spans="2:19" s="119" customFormat="1" ht="8.1" customHeight="1" x14ac:dyDescent="0.25">
      <c r="B62" s="111"/>
      <c r="C62" s="111"/>
      <c r="D62" s="308"/>
      <c r="E62" s="165"/>
      <c r="F62" s="165"/>
      <c r="G62" s="165"/>
      <c r="H62" s="432"/>
      <c r="I62" s="165"/>
      <c r="J62" s="165"/>
      <c r="K62" s="165"/>
      <c r="L62" s="165"/>
      <c r="M62" s="165"/>
      <c r="O62" s="217"/>
      <c r="P62" s="217"/>
      <c r="Q62" s="217"/>
      <c r="R62" s="217"/>
      <c r="S62" s="217"/>
    </row>
    <row r="63" spans="2:19" s="119" customFormat="1" ht="12.95" customHeight="1" x14ac:dyDescent="0.2">
      <c r="B63" s="111" t="s">
        <v>7</v>
      </c>
      <c r="C63" s="111"/>
      <c r="D63" s="307">
        <v>2016</v>
      </c>
      <c r="E63" s="167">
        <f>SUM(F63:M63)</f>
        <v>63</v>
      </c>
      <c r="F63" s="165">
        <v>2</v>
      </c>
      <c r="G63" s="165">
        <v>23</v>
      </c>
      <c r="H63" s="432" t="s">
        <v>51</v>
      </c>
      <c r="I63" s="165">
        <v>14</v>
      </c>
      <c r="J63" s="165"/>
      <c r="K63" s="165" t="s">
        <v>51</v>
      </c>
      <c r="L63" s="165">
        <v>3</v>
      </c>
      <c r="M63" s="165">
        <v>21</v>
      </c>
      <c r="O63" s="217"/>
      <c r="P63" s="217"/>
      <c r="Q63" s="217"/>
      <c r="R63" s="217"/>
      <c r="S63" s="217"/>
    </row>
    <row r="64" spans="2:19" s="119" customFormat="1" ht="12.95" customHeight="1" x14ac:dyDescent="0.2">
      <c r="B64" s="111"/>
      <c r="C64" s="111"/>
      <c r="D64" s="307">
        <v>2017</v>
      </c>
      <c r="E64" s="167">
        <f t="shared" ref="E64:E65" si="20">SUM(F64:M64)</f>
        <v>39</v>
      </c>
      <c r="F64" s="165">
        <v>4</v>
      </c>
      <c r="G64" s="165">
        <v>2</v>
      </c>
      <c r="H64" s="432" t="s">
        <v>51</v>
      </c>
      <c r="I64" s="165">
        <v>18</v>
      </c>
      <c r="J64" s="165"/>
      <c r="K64" s="165" t="s">
        <v>51</v>
      </c>
      <c r="L64" s="165">
        <v>7</v>
      </c>
      <c r="M64" s="165">
        <v>8</v>
      </c>
      <c r="O64" s="217"/>
      <c r="P64" s="217"/>
      <c r="Q64" s="217"/>
      <c r="R64" s="217"/>
      <c r="S64" s="217"/>
    </row>
    <row r="65" spans="1:19" s="119" customFormat="1" ht="12.95" customHeight="1" x14ac:dyDescent="0.25">
      <c r="B65" s="111"/>
      <c r="C65" s="111"/>
      <c r="D65" s="308">
        <v>2018</v>
      </c>
      <c r="E65" s="167">
        <f t="shared" si="20"/>
        <v>55</v>
      </c>
      <c r="F65" s="165" t="s">
        <v>51</v>
      </c>
      <c r="G65" s="165">
        <v>7</v>
      </c>
      <c r="H65" s="432" t="s">
        <v>51</v>
      </c>
      <c r="I65" s="165">
        <v>23</v>
      </c>
      <c r="J65" s="165"/>
      <c r="K65" s="165" t="s">
        <v>51</v>
      </c>
      <c r="L65" s="165">
        <v>7</v>
      </c>
      <c r="M65" s="165">
        <v>18</v>
      </c>
      <c r="O65" s="217"/>
      <c r="P65" s="217"/>
      <c r="Q65" s="217"/>
      <c r="R65" s="217"/>
      <c r="S65" s="217"/>
    </row>
    <row r="66" spans="1:19" s="119" customFormat="1" ht="8.1" customHeight="1" x14ac:dyDescent="0.3">
      <c r="B66" s="111"/>
      <c r="C66" s="111"/>
      <c r="D66" s="309"/>
      <c r="E66" s="165"/>
      <c r="F66" s="165"/>
      <c r="G66" s="165"/>
      <c r="H66" s="432"/>
      <c r="I66" s="165"/>
      <c r="J66" s="165"/>
      <c r="K66" s="165"/>
      <c r="L66" s="165"/>
      <c r="M66" s="165"/>
      <c r="O66" s="217"/>
      <c r="P66" s="217"/>
      <c r="Q66" s="217"/>
      <c r="R66" s="217"/>
      <c r="S66" s="217"/>
    </row>
    <row r="67" spans="1:19" s="119" customFormat="1" ht="12.95" customHeight="1" x14ac:dyDescent="0.2">
      <c r="B67" s="111" t="s">
        <v>8</v>
      </c>
      <c r="C67" s="111"/>
      <c r="D67" s="307">
        <v>2016</v>
      </c>
      <c r="E67" s="167">
        <f>SUM(F67:M67)</f>
        <v>57</v>
      </c>
      <c r="F67" s="167">
        <v>1</v>
      </c>
      <c r="G67" s="167">
        <v>11</v>
      </c>
      <c r="H67" s="432" t="s">
        <v>51</v>
      </c>
      <c r="I67" s="167">
        <v>12</v>
      </c>
      <c r="J67" s="165"/>
      <c r="K67" s="165" t="s">
        <v>51</v>
      </c>
      <c r="L67" s="167">
        <v>14</v>
      </c>
      <c r="M67" s="167">
        <v>19</v>
      </c>
    </row>
    <row r="68" spans="1:19" s="119" customFormat="1" ht="12.95" customHeight="1" x14ac:dyDescent="0.2">
      <c r="B68" s="111"/>
      <c r="C68" s="111"/>
      <c r="D68" s="307">
        <v>2017</v>
      </c>
      <c r="E68" s="167">
        <f t="shared" ref="E68:E69" si="21">SUM(F68:M68)</f>
        <v>45</v>
      </c>
      <c r="F68" s="167">
        <v>2</v>
      </c>
      <c r="G68" s="167">
        <v>4</v>
      </c>
      <c r="H68" s="432" t="s">
        <v>51</v>
      </c>
      <c r="I68" s="167">
        <v>15</v>
      </c>
      <c r="J68" s="165"/>
      <c r="K68" s="165" t="s">
        <v>51</v>
      </c>
      <c r="L68" s="167">
        <v>9</v>
      </c>
      <c r="M68" s="167">
        <v>15</v>
      </c>
    </row>
    <row r="69" spans="1:19" s="119" customFormat="1" ht="12.95" customHeight="1" x14ac:dyDescent="0.25">
      <c r="B69" s="111"/>
      <c r="C69" s="111"/>
      <c r="D69" s="308">
        <v>2018</v>
      </c>
      <c r="E69" s="167">
        <f t="shared" si="21"/>
        <v>61</v>
      </c>
      <c r="F69" s="167">
        <v>1</v>
      </c>
      <c r="G69" s="167">
        <v>13</v>
      </c>
      <c r="H69" s="432" t="s">
        <v>51</v>
      </c>
      <c r="I69" s="167">
        <v>8</v>
      </c>
      <c r="J69" s="165"/>
      <c r="K69" s="165" t="s">
        <v>51</v>
      </c>
      <c r="L69" s="167">
        <v>14</v>
      </c>
      <c r="M69" s="167">
        <v>25</v>
      </c>
    </row>
    <row r="70" spans="1:19" s="119" customFormat="1" ht="8.1" customHeight="1" x14ac:dyDescent="0.3">
      <c r="B70" s="111"/>
      <c r="C70" s="111"/>
      <c r="D70" s="309"/>
      <c r="E70" s="167"/>
      <c r="F70" s="167"/>
      <c r="G70" s="167"/>
      <c r="H70" s="432"/>
      <c r="I70" s="165"/>
      <c r="J70" s="165"/>
      <c r="K70" s="165"/>
      <c r="L70" s="165"/>
      <c r="M70" s="167"/>
    </row>
    <row r="71" spans="1:19" s="119" customFormat="1" ht="12.95" customHeight="1" x14ac:dyDescent="0.2">
      <c r="B71" s="111" t="s">
        <v>56</v>
      </c>
      <c r="C71" s="111"/>
      <c r="D71" s="307">
        <v>2016</v>
      </c>
      <c r="E71" s="167">
        <f>SUM(F71:M71)</f>
        <v>273</v>
      </c>
      <c r="F71" s="167">
        <v>8</v>
      </c>
      <c r="G71" s="167">
        <v>32</v>
      </c>
      <c r="H71" s="432" t="s">
        <v>51</v>
      </c>
      <c r="I71" s="167">
        <v>139</v>
      </c>
      <c r="J71" s="165"/>
      <c r="K71" s="165" t="s">
        <v>51</v>
      </c>
      <c r="L71" s="167">
        <v>26</v>
      </c>
      <c r="M71" s="167">
        <v>68</v>
      </c>
    </row>
    <row r="72" spans="1:19" s="119" customFormat="1" ht="12.95" customHeight="1" x14ac:dyDescent="0.2">
      <c r="B72" s="111"/>
      <c r="C72" s="111"/>
      <c r="D72" s="307">
        <v>2017</v>
      </c>
      <c r="E72" s="167">
        <f t="shared" ref="E72:E73" si="22">SUM(F72:M72)</f>
        <v>253</v>
      </c>
      <c r="F72" s="167">
        <v>7</v>
      </c>
      <c r="G72" s="167">
        <v>40</v>
      </c>
      <c r="H72" s="432" t="s">
        <v>51</v>
      </c>
      <c r="I72" s="167">
        <v>116</v>
      </c>
      <c r="J72" s="165"/>
      <c r="K72" s="165" t="s">
        <v>51</v>
      </c>
      <c r="L72" s="167">
        <v>21</v>
      </c>
      <c r="M72" s="167">
        <v>69</v>
      </c>
    </row>
    <row r="73" spans="1:19" s="119" customFormat="1" ht="12.95" customHeight="1" x14ac:dyDescent="0.25">
      <c r="B73" s="111"/>
      <c r="C73" s="111"/>
      <c r="D73" s="308">
        <v>2018</v>
      </c>
      <c r="E73" s="167">
        <f t="shared" si="22"/>
        <v>189</v>
      </c>
      <c r="F73" s="167">
        <v>7</v>
      </c>
      <c r="G73" s="167">
        <v>17</v>
      </c>
      <c r="H73" s="432" t="s">
        <v>51</v>
      </c>
      <c r="I73" s="167">
        <v>91</v>
      </c>
      <c r="J73" s="165"/>
      <c r="K73" s="165" t="s">
        <v>51</v>
      </c>
      <c r="L73" s="167">
        <v>18</v>
      </c>
      <c r="M73" s="167">
        <v>56</v>
      </c>
    </row>
    <row r="74" spans="1:19" s="53" customFormat="1" ht="8.1" customHeight="1" thickBot="1" x14ac:dyDescent="0.25">
      <c r="A74" s="219"/>
      <c r="B74" s="220"/>
      <c r="C74" s="220"/>
      <c r="D74" s="220"/>
      <c r="E74" s="221"/>
      <c r="F74" s="222"/>
      <c r="G74" s="222"/>
      <c r="H74" s="433"/>
      <c r="I74" s="222"/>
      <c r="J74" s="222"/>
      <c r="K74" s="222"/>
      <c r="L74" s="222"/>
      <c r="M74" s="223"/>
      <c r="N74" s="219"/>
    </row>
    <row r="75" spans="1:19" s="53" customFormat="1" ht="12.75" x14ac:dyDescent="0.2">
      <c r="B75" s="118"/>
      <c r="C75" s="118"/>
      <c r="D75" s="118"/>
      <c r="E75" s="66"/>
      <c r="F75" s="117"/>
      <c r="G75" s="117"/>
      <c r="H75" s="429"/>
      <c r="I75" s="117"/>
      <c r="J75" s="117"/>
      <c r="K75" s="117"/>
      <c r="L75" s="117"/>
      <c r="M75" s="213"/>
      <c r="N75" s="8" t="s">
        <v>101</v>
      </c>
    </row>
    <row r="76" spans="1:19" s="53" customFormat="1" ht="12.75" x14ac:dyDescent="0.2">
      <c r="B76" s="118"/>
      <c r="C76" s="118"/>
      <c r="D76" s="118"/>
      <c r="E76" s="66"/>
      <c r="F76" s="117"/>
      <c r="G76" s="117"/>
      <c r="H76" s="429"/>
      <c r="I76" s="117"/>
      <c r="J76" s="117"/>
      <c r="K76" s="117"/>
      <c r="L76" s="117"/>
      <c r="M76" s="213"/>
      <c r="N76" s="41" t="s">
        <v>1</v>
      </c>
    </row>
    <row r="77" spans="1:19" s="53" customFormat="1" ht="12.75" x14ac:dyDescent="0.2">
      <c r="B77" s="118"/>
      <c r="C77" s="118"/>
      <c r="D77" s="118"/>
      <c r="E77" s="66"/>
      <c r="F77" s="117"/>
      <c r="G77" s="117"/>
      <c r="H77" s="429"/>
      <c r="I77" s="117"/>
      <c r="J77" s="117"/>
      <c r="K77" s="117"/>
      <c r="L77" s="117"/>
      <c r="M77" s="213"/>
    </row>
  </sheetData>
  <mergeCells count="4">
    <mergeCell ref="B11:C11"/>
    <mergeCell ref="B12:C12"/>
    <mergeCell ref="H11:I11"/>
    <mergeCell ref="K11:L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5" fitToWidth="0" orientation="portrait" r:id="rId1"/>
  <headerFooter>
    <oddHeader xml:space="preserve">&amp;R&amp;"-,Bold"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5"/>
  <sheetViews>
    <sheetView showGridLines="0" tabSelected="1" topLeftCell="A4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30" customWidth="1"/>
    <col min="2" max="3" width="10.5703125" style="27" customWidth="1"/>
    <col min="4" max="4" width="11.28515625" style="27" customWidth="1"/>
    <col min="5" max="5" width="23" style="28" customWidth="1"/>
    <col min="6" max="7" width="20" style="29" customWidth="1"/>
    <col min="8" max="8" width="1.7109375" style="30" customWidth="1"/>
    <col min="9" max="16384" width="9.140625" style="30"/>
  </cols>
  <sheetData>
    <row r="1" spans="1:8" ht="12" customHeight="1" x14ac:dyDescent="0.25">
      <c r="G1" s="181" t="s">
        <v>182</v>
      </c>
    </row>
    <row r="2" spans="1:8" ht="12" customHeight="1" x14ac:dyDescent="0.25">
      <c r="G2" s="71" t="s">
        <v>183</v>
      </c>
    </row>
    <row r="3" spans="1:8" ht="12" customHeight="1" x14ac:dyDescent="0.25">
      <c r="G3" s="71"/>
    </row>
    <row r="4" spans="1:8" ht="12" customHeight="1" x14ac:dyDescent="0.25">
      <c r="G4" s="71"/>
    </row>
    <row r="5" spans="1:8" s="182" customFormat="1" ht="15" customHeight="1" x14ac:dyDescent="0.25">
      <c r="B5" s="82" t="s">
        <v>92</v>
      </c>
      <c r="C5" s="67" t="s">
        <v>234</v>
      </c>
      <c r="D5" s="67"/>
      <c r="F5" s="67"/>
      <c r="G5" s="67"/>
      <c r="H5" s="67"/>
    </row>
    <row r="6" spans="1:8" s="70" customFormat="1" ht="16.5" customHeight="1" x14ac:dyDescent="0.25">
      <c r="B6" s="83" t="s">
        <v>93</v>
      </c>
      <c r="C6" s="70" t="s">
        <v>235</v>
      </c>
    </row>
    <row r="7" spans="1:8" ht="8.1" customHeight="1" thickBot="1" x14ac:dyDescent="0.3"/>
    <row r="8" spans="1:8" ht="4.5" customHeight="1" thickTop="1" x14ac:dyDescent="0.25">
      <c r="A8" s="338"/>
      <c r="B8" s="339"/>
      <c r="C8" s="339"/>
      <c r="D8" s="339"/>
      <c r="E8" s="340"/>
      <c r="F8" s="341"/>
      <c r="G8" s="341"/>
      <c r="H8" s="338"/>
    </row>
    <row r="9" spans="1:8" s="183" customFormat="1" ht="42" customHeight="1" x14ac:dyDescent="0.25">
      <c r="A9" s="342"/>
      <c r="B9" s="343" t="s">
        <v>186</v>
      </c>
      <c r="C9" s="342"/>
      <c r="D9" s="415" t="s">
        <v>98</v>
      </c>
      <c r="E9" s="415" t="s">
        <v>261</v>
      </c>
      <c r="F9" s="414" t="s">
        <v>262</v>
      </c>
      <c r="G9" s="414" t="s">
        <v>236</v>
      </c>
      <c r="H9" s="342"/>
    </row>
    <row r="10" spans="1:8" s="37" customFormat="1" ht="6" customHeight="1" x14ac:dyDescent="0.25">
      <c r="B10" s="38"/>
      <c r="C10" s="38"/>
      <c r="D10" s="38"/>
      <c r="E10" s="43"/>
      <c r="F10" s="97"/>
      <c r="G10" s="97"/>
    </row>
    <row r="11" spans="1:8" s="37" customFormat="1" ht="12.95" customHeight="1" x14ac:dyDescent="0.25">
      <c r="B11" s="112" t="s">
        <v>187</v>
      </c>
      <c r="C11" s="184"/>
      <c r="D11" s="63">
        <v>2016</v>
      </c>
      <c r="E11" s="417">
        <f>F11/G11*100</f>
        <v>355.17838740065878</v>
      </c>
      <c r="F11" s="166">
        <v>112355</v>
      </c>
      <c r="G11" s="417">
        <f>SUM(G15,G19,G23,G27,G31,G35,G39,G43,G47,G51,G55,G59,G63,G67,)</f>
        <v>31633.4</v>
      </c>
    </row>
    <row r="12" spans="1:8" ht="12.95" customHeight="1" x14ac:dyDescent="0.25">
      <c r="B12" s="185"/>
      <c r="C12" s="185"/>
      <c r="D12" s="63">
        <v>2017</v>
      </c>
      <c r="E12" s="417">
        <f>F12/G12*100</f>
        <v>309.66351783901939</v>
      </c>
      <c r="F12" s="166">
        <v>99162</v>
      </c>
      <c r="G12" s="417">
        <f>SUM(G16,G20,G24,G28,G32,G36,G40,G44,G48,G52,G56,G60,G64,G68,)</f>
        <v>32022.500000000004</v>
      </c>
    </row>
    <row r="13" spans="1:8" ht="12.95" customHeight="1" x14ac:dyDescent="0.25">
      <c r="B13" s="185"/>
      <c r="C13" s="185"/>
      <c r="D13" s="63">
        <v>2018</v>
      </c>
      <c r="E13" s="417">
        <f t="shared" ref="E13" si="0">F13/G13*100</f>
        <v>273.79772283006457</v>
      </c>
      <c r="F13" s="166">
        <v>88662</v>
      </c>
      <c r="G13" s="417">
        <f>SUM(G17,G21,G25,G29,G33,G37,G41,G45,G49,G53,G57,G61,G65,G69,)</f>
        <v>32382.3</v>
      </c>
    </row>
    <row r="14" spans="1:8" ht="6" customHeight="1" x14ac:dyDescent="0.25">
      <c r="B14" s="106"/>
      <c r="C14" s="106"/>
      <c r="D14" s="162"/>
      <c r="E14" s="186"/>
      <c r="F14" s="186"/>
      <c r="G14" s="186"/>
    </row>
    <row r="15" spans="1:8" ht="12.95" customHeight="1" x14ac:dyDescent="0.2">
      <c r="B15" s="106" t="s">
        <v>97</v>
      </c>
      <c r="C15" s="106"/>
      <c r="D15" s="168">
        <v>2016</v>
      </c>
      <c r="E15" s="419">
        <f>F15/G15*100</f>
        <v>354.37318582616786</v>
      </c>
      <c r="F15" s="167">
        <v>12941</v>
      </c>
      <c r="G15" s="450">
        <v>3651.8</v>
      </c>
    </row>
    <row r="16" spans="1:8" ht="12.95" customHeight="1" x14ac:dyDescent="0.2">
      <c r="B16" s="106"/>
      <c r="C16" s="106"/>
      <c r="D16" s="168">
        <v>2017</v>
      </c>
      <c r="E16" s="419">
        <f t="shared" ref="E16:E17" si="1">F16/G16*100</f>
        <v>305.84257506086016</v>
      </c>
      <c r="F16" s="167">
        <v>11307</v>
      </c>
      <c r="G16" s="450">
        <v>3697</v>
      </c>
    </row>
    <row r="17" spans="2:8" ht="12.95" customHeight="1" x14ac:dyDescent="0.2">
      <c r="B17" s="106"/>
      <c r="C17" s="106"/>
      <c r="D17" s="168">
        <v>2018</v>
      </c>
      <c r="E17" s="419">
        <f t="shared" si="1"/>
        <v>275.7241158585374</v>
      </c>
      <c r="F17" s="167">
        <v>10338</v>
      </c>
      <c r="G17" s="450">
        <v>3749.4</v>
      </c>
    </row>
    <row r="18" spans="2:8" ht="6" customHeight="1" x14ac:dyDescent="0.25">
      <c r="B18" s="106"/>
      <c r="C18" s="106"/>
      <c r="D18" s="162"/>
      <c r="E18" s="186"/>
      <c r="F18" s="167"/>
      <c r="G18" s="418"/>
    </row>
    <row r="19" spans="2:8" ht="12.95" customHeight="1" x14ac:dyDescent="0.2">
      <c r="B19" s="106" t="s">
        <v>99</v>
      </c>
      <c r="C19" s="106"/>
      <c r="D19" s="168">
        <v>2016</v>
      </c>
      <c r="E19" s="419">
        <f>F19/G19*100</f>
        <v>350.99306505637594</v>
      </c>
      <c r="F19" s="167">
        <v>7440</v>
      </c>
      <c r="G19" s="450">
        <v>2119.6999999999998</v>
      </c>
    </row>
    <row r="20" spans="2:8" ht="12.95" customHeight="1" x14ac:dyDescent="0.2">
      <c r="B20" s="106"/>
      <c r="C20" s="106"/>
      <c r="D20" s="168">
        <v>2017</v>
      </c>
      <c r="E20" s="419">
        <f t="shared" ref="E20:E21" si="2">F20/G20*100</f>
        <v>315.26657026913568</v>
      </c>
      <c r="F20" s="167">
        <v>6759</v>
      </c>
      <c r="G20" s="450">
        <v>2143.9</v>
      </c>
    </row>
    <row r="21" spans="2:8" ht="12.95" customHeight="1" x14ac:dyDescent="0.2">
      <c r="B21" s="106"/>
      <c r="C21" s="106"/>
      <c r="D21" s="168">
        <v>2018</v>
      </c>
      <c r="E21" s="419">
        <f t="shared" si="2"/>
        <v>287.60980120203425</v>
      </c>
      <c r="F21" s="167">
        <v>6221</v>
      </c>
      <c r="G21" s="450">
        <v>2163</v>
      </c>
    </row>
    <row r="22" spans="2:8" ht="6" customHeight="1" x14ac:dyDescent="0.25">
      <c r="B22" s="106"/>
      <c r="C22" s="106"/>
      <c r="D22" s="162"/>
      <c r="E22" s="186"/>
      <c r="F22" s="167"/>
      <c r="G22" s="418"/>
    </row>
    <row r="23" spans="2:8" ht="12.95" customHeight="1" x14ac:dyDescent="0.2">
      <c r="B23" s="106" t="s">
        <v>188</v>
      </c>
      <c r="C23" s="106"/>
      <c r="D23" s="168">
        <v>2016</v>
      </c>
      <c r="E23" s="419">
        <f>F23/G23*100</f>
        <v>253.13073968943064</v>
      </c>
      <c r="F23" s="167">
        <v>4548</v>
      </c>
      <c r="G23" s="450">
        <v>1796.7</v>
      </c>
    </row>
    <row r="24" spans="2:8" ht="12.95" customHeight="1" x14ac:dyDescent="0.2">
      <c r="B24" s="106"/>
      <c r="C24" s="106"/>
      <c r="D24" s="168">
        <v>2017</v>
      </c>
      <c r="E24" s="419">
        <f t="shared" ref="E24:E25" si="3">F24/G24*100</f>
        <v>247.12957900492074</v>
      </c>
      <c r="F24" s="167">
        <v>4520</v>
      </c>
      <c r="G24" s="450">
        <v>1829</v>
      </c>
    </row>
    <row r="25" spans="2:8" ht="12.95" customHeight="1" x14ac:dyDescent="0.2">
      <c r="B25" s="106"/>
      <c r="C25" s="106"/>
      <c r="D25" s="168">
        <v>2018</v>
      </c>
      <c r="E25" s="419">
        <f t="shared" si="3"/>
        <v>214.29723192690139</v>
      </c>
      <c r="F25" s="167">
        <v>3987</v>
      </c>
      <c r="G25" s="450">
        <v>1860.5</v>
      </c>
    </row>
    <row r="26" spans="2:8" ht="6" customHeight="1" x14ac:dyDescent="0.25">
      <c r="B26" s="106"/>
      <c r="C26" s="106"/>
      <c r="D26" s="162"/>
      <c r="E26" s="186"/>
      <c r="F26" s="167"/>
      <c r="G26" s="418"/>
    </row>
    <row r="27" spans="2:8" ht="12.95" customHeight="1" x14ac:dyDescent="0.2">
      <c r="B27" s="106" t="s">
        <v>189</v>
      </c>
      <c r="C27" s="106"/>
      <c r="D27" s="168">
        <v>2016</v>
      </c>
      <c r="E27" s="419">
        <f>F27/G27*100</f>
        <v>406.61413827544112</v>
      </c>
      <c r="F27" s="167">
        <v>3664</v>
      </c>
      <c r="G27" s="450">
        <v>901.1</v>
      </c>
    </row>
    <row r="28" spans="2:8" ht="12.95" customHeight="1" x14ac:dyDescent="0.2">
      <c r="B28" s="106"/>
      <c r="C28" s="106"/>
      <c r="D28" s="168">
        <v>2017</v>
      </c>
      <c r="E28" s="419">
        <f t="shared" ref="E28:E29" si="4">F28/G28*100</f>
        <v>339.17424159456795</v>
      </c>
      <c r="F28" s="167">
        <v>3097</v>
      </c>
      <c r="G28" s="450">
        <v>913.1</v>
      </c>
    </row>
    <row r="29" spans="2:8" ht="12.95" customHeight="1" x14ac:dyDescent="0.2">
      <c r="B29" s="106"/>
      <c r="C29" s="106"/>
      <c r="D29" s="168">
        <v>2018</v>
      </c>
      <c r="E29" s="419">
        <f t="shared" si="4"/>
        <v>303.55594102341718</v>
      </c>
      <c r="F29" s="167">
        <v>2800</v>
      </c>
      <c r="G29" s="450">
        <v>922.4</v>
      </c>
    </row>
    <row r="30" spans="2:8" ht="6" customHeight="1" x14ac:dyDescent="0.25">
      <c r="B30" s="106"/>
      <c r="C30" s="106"/>
      <c r="D30" s="162"/>
      <c r="E30" s="186"/>
      <c r="F30" s="167"/>
      <c r="G30" s="418"/>
    </row>
    <row r="31" spans="2:8" s="27" customFormat="1" ht="12.95" customHeight="1" x14ac:dyDescent="0.2">
      <c r="B31" s="106" t="s">
        <v>31</v>
      </c>
      <c r="C31" s="106"/>
      <c r="D31" s="168">
        <v>2016</v>
      </c>
      <c r="E31" s="419">
        <f>F31/G31*100</f>
        <v>406.98626398617301</v>
      </c>
      <c r="F31" s="167">
        <v>4474</v>
      </c>
      <c r="G31" s="450">
        <v>1099.3</v>
      </c>
      <c r="H31" s="30"/>
    </row>
    <row r="32" spans="2:8" ht="12.95" customHeight="1" x14ac:dyDescent="0.2">
      <c r="B32" s="106"/>
      <c r="C32" s="106"/>
      <c r="D32" s="168">
        <v>2017</v>
      </c>
      <c r="E32" s="419">
        <f t="shared" ref="E32:E33" si="5">F32/G32*100</f>
        <v>356.64272890484739</v>
      </c>
      <c r="F32" s="167">
        <v>3973</v>
      </c>
      <c r="G32" s="450">
        <v>1114</v>
      </c>
    </row>
    <row r="33" spans="2:7" ht="12.95" customHeight="1" x14ac:dyDescent="0.2">
      <c r="B33" s="106"/>
      <c r="C33" s="106"/>
      <c r="D33" s="168">
        <v>2018</v>
      </c>
      <c r="E33" s="419">
        <f t="shared" si="5"/>
        <v>327.09947457476176</v>
      </c>
      <c r="F33" s="167">
        <v>3673</v>
      </c>
      <c r="G33" s="450">
        <v>1122.9000000000001</v>
      </c>
    </row>
    <row r="34" spans="2:7" ht="6" customHeight="1" x14ac:dyDescent="0.25">
      <c r="B34" s="106"/>
      <c r="C34" s="106"/>
      <c r="D34" s="162"/>
      <c r="E34" s="186"/>
      <c r="F34" s="167"/>
      <c r="G34" s="418"/>
    </row>
    <row r="35" spans="2:7" ht="12.95" customHeight="1" x14ac:dyDescent="0.2">
      <c r="B35" s="106" t="s">
        <v>100</v>
      </c>
      <c r="C35" s="106"/>
      <c r="D35" s="168">
        <v>2016</v>
      </c>
      <c r="E35" s="419">
        <f>F35/G35*100</f>
        <v>232.1878650027663</v>
      </c>
      <c r="F35" s="167">
        <v>3777</v>
      </c>
      <c r="G35" s="450">
        <v>1626.7</v>
      </c>
    </row>
    <row r="36" spans="2:7" ht="12.95" customHeight="1" x14ac:dyDescent="0.2">
      <c r="B36" s="106"/>
      <c r="C36" s="106"/>
      <c r="D36" s="168">
        <v>2017</v>
      </c>
      <c r="E36" s="419">
        <f>F36/G36*100</f>
        <v>218.63995142683669</v>
      </c>
      <c r="F36" s="167">
        <v>3601</v>
      </c>
      <c r="G36" s="450">
        <v>1647</v>
      </c>
    </row>
    <row r="37" spans="2:7" ht="12.95" customHeight="1" x14ac:dyDescent="0.2">
      <c r="B37" s="106"/>
      <c r="C37" s="106"/>
      <c r="D37" s="168">
        <v>2018</v>
      </c>
      <c r="E37" s="419">
        <f t="shared" ref="E37" si="6">F37/G37*100</f>
        <v>215.29404697543103</v>
      </c>
      <c r="F37" s="167">
        <v>3584</v>
      </c>
      <c r="G37" s="450">
        <v>1664.7</v>
      </c>
    </row>
    <row r="38" spans="2:7" ht="6" customHeight="1" x14ac:dyDescent="0.25">
      <c r="B38" s="106"/>
      <c r="C38" s="106"/>
      <c r="D38" s="162"/>
      <c r="E38" s="186"/>
      <c r="F38" s="167"/>
      <c r="G38" s="418"/>
    </row>
    <row r="39" spans="2:7" ht="12.95" customHeight="1" x14ac:dyDescent="0.2">
      <c r="B39" s="106" t="s">
        <v>176</v>
      </c>
      <c r="C39" s="106"/>
      <c r="D39" s="168">
        <v>2016</v>
      </c>
      <c r="E39" s="419">
        <f>F39/G39*100</f>
        <v>235.32492647355065</v>
      </c>
      <c r="F39" s="167">
        <v>5841</v>
      </c>
      <c r="G39" s="450">
        <v>2482.1</v>
      </c>
    </row>
    <row r="40" spans="2:7" ht="12.95" customHeight="1" x14ac:dyDescent="0.2">
      <c r="B40" s="106"/>
      <c r="C40" s="106"/>
      <c r="D40" s="168">
        <v>2017</v>
      </c>
      <c r="E40" s="419">
        <f t="shared" ref="E40:E41" si="7">F40/G40*100</f>
        <v>213.62104925397082</v>
      </c>
      <c r="F40" s="167">
        <v>5326</v>
      </c>
      <c r="G40" s="450">
        <v>2493.1999999999998</v>
      </c>
    </row>
    <row r="41" spans="2:7" ht="12.95" customHeight="1" x14ac:dyDescent="0.2">
      <c r="B41" s="106"/>
      <c r="C41" s="106"/>
      <c r="D41" s="168">
        <v>2018</v>
      </c>
      <c r="E41" s="419">
        <f t="shared" si="7"/>
        <v>204.83323347313762</v>
      </c>
      <c r="F41" s="167">
        <v>5128</v>
      </c>
      <c r="G41" s="450">
        <v>2503.5</v>
      </c>
    </row>
    <row r="42" spans="2:7" ht="6" customHeight="1" x14ac:dyDescent="0.25">
      <c r="B42" s="106"/>
      <c r="C42" s="106"/>
      <c r="D42" s="162"/>
      <c r="E42" s="186"/>
      <c r="F42" s="167"/>
      <c r="G42" s="418"/>
    </row>
    <row r="43" spans="2:7" ht="12.95" customHeight="1" x14ac:dyDescent="0.2">
      <c r="B43" s="106" t="s">
        <v>49</v>
      </c>
      <c r="C43" s="106"/>
      <c r="D43" s="168">
        <v>2016</v>
      </c>
      <c r="E43" s="419">
        <f>F43/G43*100</f>
        <v>260.95617529880479</v>
      </c>
      <c r="F43" s="167">
        <v>655</v>
      </c>
      <c r="G43" s="450">
        <v>251</v>
      </c>
    </row>
    <row r="44" spans="2:7" ht="12.95" customHeight="1" x14ac:dyDescent="0.2">
      <c r="B44" s="106"/>
      <c r="C44" s="106"/>
      <c r="D44" s="168">
        <v>2017</v>
      </c>
      <c r="E44" s="419">
        <f t="shared" ref="E44:E45" si="8">F44/G44*100</f>
        <v>239.28571428571428</v>
      </c>
      <c r="F44" s="167">
        <v>603</v>
      </c>
      <c r="G44" s="450">
        <v>252</v>
      </c>
    </row>
    <row r="45" spans="2:7" ht="12.95" customHeight="1" x14ac:dyDescent="0.2">
      <c r="B45" s="106"/>
      <c r="C45" s="106"/>
      <c r="D45" s="168">
        <v>2018</v>
      </c>
      <c r="E45" s="419">
        <f t="shared" si="8"/>
        <v>222.09072978303746</v>
      </c>
      <c r="F45" s="167">
        <v>563</v>
      </c>
      <c r="G45" s="450">
        <v>253.5</v>
      </c>
    </row>
    <row r="46" spans="2:7" ht="6" customHeight="1" x14ac:dyDescent="0.25">
      <c r="B46" s="106"/>
      <c r="C46" s="106"/>
      <c r="D46" s="162"/>
      <c r="E46" s="186"/>
      <c r="F46" s="167"/>
      <c r="G46" s="418"/>
    </row>
    <row r="47" spans="2:7" ht="12.95" customHeight="1" x14ac:dyDescent="0.2">
      <c r="B47" s="106" t="s">
        <v>50</v>
      </c>
      <c r="C47" s="106"/>
      <c r="D47" s="168">
        <v>2016</v>
      </c>
      <c r="E47" s="419">
        <f>F47/G47*100</f>
        <v>356.05751877510625</v>
      </c>
      <c r="F47" s="167">
        <v>6116</v>
      </c>
      <c r="G47" s="450">
        <v>1717.7</v>
      </c>
    </row>
    <row r="48" spans="2:7" ht="12.95" customHeight="1" x14ac:dyDescent="0.2">
      <c r="B48" s="106"/>
      <c r="C48" s="106"/>
      <c r="D48" s="168">
        <v>2017</v>
      </c>
      <c r="E48" s="419">
        <f>F48/G48*100</f>
        <v>318.27303480305028</v>
      </c>
      <c r="F48" s="167">
        <v>5551</v>
      </c>
      <c r="G48" s="450">
        <v>1744.1</v>
      </c>
    </row>
    <row r="49" spans="2:7" ht="12.95" customHeight="1" x14ac:dyDescent="0.2">
      <c r="B49" s="106"/>
      <c r="C49" s="106"/>
      <c r="D49" s="168">
        <v>2018</v>
      </c>
      <c r="E49" s="419">
        <f t="shared" ref="E49" si="9">F49/G49*100</f>
        <v>284.60403902881779</v>
      </c>
      <c r="F49" s="167">
        <v>5017</v>
      </c>
      <c r="G49" s="450">
        <v>1762.8</v>
      </c>
    </row>
    <row r="50" spans="2:7" ht="6" customHeight="1" x14ac:dyDescent="0.25">
      <c r="B50" s="106"/>
      <c r="C50" s="106"/>
      <c r="D50" s="162"/>
      <c r="E50" s="186"/>
      <c r="F50" s="167"/>
      <c r="G50" s="418"/>
    </row>
    <row r="51" spans="2:7" ht="12.95" customHeight="1" x14ac:dyDescent="0.2">
      <c r="B51" s="106" t="s">
        <v>155</v>
      </c>
      <c r="C51" s="106"/>
      <c r="D51" s="168">
        <v>2016</v>
      </c>
      <c r="E51" s="419">
        <f>F51/G51*100</f>
        <v>137.62950046158579</v>
      </c>
      <c r="F51" s="167">
        <v>5367</v>
      </c>
      <c r="G51" s="450">
        <v>3899.6000000000004</v>
      </c>
    </row>
    <row r="52" spans="2:7" ht="12.95" customHeight="1" x14ac:dyDescent="0.2">
      <c r="B52" s="106"/>
      <c r="C52" s="106"/>
      <c r="D52" s="168">
        <v>2017</v>
      </c>
      <c r="E52" s="419">
        <f t="shared" ref="E52:E53" si="10">F52/G52*100</f>
        <v>157.73365372454785</v>
      </c>
      <c r="F52" s="167">
        <v>6236</v>
      </c>
      <c r="G52" s="450">
        <v>3953.5</v>
      </c>
    </row>
    <row r="53" spans="2:7" ht="12.95" customHeight="1" x14ac:dyDescent="0.2">
      <c r="B53" s="106"/>
      <c r="C53" s="106"/>
      <c r="D53" s="168">
        <v>2018</v>
      </c>
      <c r="E53" s="419">
        <f t="shared" si="10"/>
        <v>153.87501876219542</v>
      </c>
      <c r="F53" s="167">
        <v>6151</v>
      </c>
      <c r="G53" s="450">
        <v>3997.4</v>
      </c>
    </row>
    <row r="54" spans="2:7" ht="6" customHeight="1" x14ac:dyDescent="0.25">
      <c r="B54" s="106"/>
      <c r="C54" s="106"/>
      <c r="D54" s="162"/>
      <c r="E54" s="186"/>
      <c r="F54" s="167"/>
      <c r="G54" s="418"/>
    </row>
    <row r="55" spans="2:7" ht="12.95" customHeight="1" x14ac:dyDescent="0.2">
      <c r="B55" s="106" t="s">
        <v>126</v>
      </c>
      <c r="C55" s="106"/>
      <c r="D55" s="168">
        <v>2016</v>
      </c>
      <c r="E55" s="419">
        <f>F55/G55*100</f>
        <v>249.2423412568007</v>
      </c>
      <c r="F55" s="167">
        <v>6826</v>
      </c>
      <c r="G55" s="450">
        <v>2738.7</v>
      </c>
    </row>
    <row r="56" spans="2:7" ht="12.95" customHeight="1" x14ac:dyDescent="0.2">
      <c r="B56" s="106"/>
      <c r="C56" s="106"/>
      <c r="D56" s="168">
        <v>2017</v>
      </c>
      <c r="E56" s="419">
        <f t="shared" ref="E56:E57" si="11">F56/G56*100</f>
        <v>230.66912482377182</v>
      </c>
      <c r="F56" s="167">
        <v>6381</v>
      </c>
      <c r="G56" s="450">
        <v>2766.3</v>
      </c>
    </row>
    <row r="57" spans="2:7" ht="12.95" customHeight="1" x14ac:dyDescent="0.2">
      <c r="B57" s="106"/>
      <c r="C57" s="106"/>
      <c r="D57" s="168">
        <v>2018</v>
      </c>
      <c r="E57" s="419">
        <f t="shared" si="11"/>
        <v>208.83332736325539</v>
      </c>
      <c r="F57" s="167">
        <v>5830</v>
      </c>
      <c r="G57" s="450">
        <v>2791.7</v>
      </c>
    </row>
    <row r="58" spans="2:7" ht="6" customHeight="1" x14ac:dyDescent="0.25">
      <c r="B58" s="106"/>
      <c r="C58" s="106"/>
      <c r="D58" s="162"/>
      <c r="E58" s="186"/>
      <c r="F58" s="167"/>
      <c r="G58" s="418"/>
    </row>
    <row r="59" spans="2:7" ht="12.95" customHeight="1" x14ac:dyDescent="0.2">
      <c r="B59" s="106" t="s">
        <v>102</v>
      </c>
      <c r="C59" s="106"/>
      <c r="D59" s="168">
        <v>2016</v>
      </c>
      <c r="E59" s="419">
        <f>F59/G59*100</f>
        <v>496.27274894699201</v>
      </c>
      <c r="F59" s="167">
        <v>31223</v>
      </c>
      <c r="G59" s="450">
        <v>6291.5</v>
      </c>
    </row>
    <row r="60" spans="2:7" ht="12.95" customHeight="1" x14ac:dyDescent="0.2">
      <c r="B60" s="106"/>
      <c r="C60" s="106"/>
      <c r="D60" s="168">
        <v>2017</v>
      </c>
      <c r="E60" s="419">
        <f t="shared" ref="E60" si="12">F60/G60*100</f>
        <v>408.56018932092093</v>
      </c>
      <c r="F60" s="167">
        <v>26069</v>
      </c>
      <c r="G60" s="450">
        <v>6380.7</v>
      </c>
    </row>
    <row r="61" spans="2:7" ht="12.95" customHeight="1" x14ac:dyDescent="0.2">
      <c r="B61" s="106"/>
      <c r="C61" s="106"/>
      <c r="D61" s="168">
        <v>2018</v>
      </c>
      <c r="E61" s="419">
        <f>F61/G61*100</f>
        <v>330.81081081081084</v>
      </c>
      <c r="F61" s="167">
        <v>21420</v>
      </c>
      <c r="G61" s="450">
        <v>6475</v>
      </c>
    </row>
    <row r="62" spans="2:7" ht="6" customHeight="1" x14ac:dyDescent="0.25">
      <c r="B62" s="106"/>
      <c r="C62" s="106"/>
      <c r="D62" s="162"/>
      <c r="E62" s="186"/>
      <c r="F62" s="167"/>
      <c r="G62" s="418"/>
    </row>
    <row r="63" spans="2:7" ht="12.95" customHeight="1" x14ac:dyDescent="0.2">
      <c r="B63" s="106" t="s">
        <v>118</v>
      </c>
      <c r="C63" s="106"/>
      <c r="D63" s="168">
        <v>2016</v>
      </c>
      <c r="E63" s="419">
        <f>F63/G63*100</f>
        <v>210.74869021463579</v>
      </c>
      <c r="F63" s="165">
        <v>2494</v>
      </c>
      <c r="G63" s="450">
        <v>1183.4000000000001</v>
      </c>
    </row>
    <row r="64" spans="2:7" ht="12.95" customHeight="1" x14ac:dyDescent="0.2">
      <c r="B64" s="106"/>
      <c r="C64" s="106"/>
      <c r="D64" s="168">
        <v>2017</v>
      </c>
      <c r="E64" s="419">
        <f t="shared" ref="E64:E65" si="13">F64/G64*100</f>
        <v>186.83774834437085</v>
      </c>
      <c r="F64" s="167">
        <v>2257</v>
      </c>
      <c r="G64" s="450">
        <v>1208</v>
      </c>
    </row>
    <row r="65" spans="1:8" ht="12.95" customHeight="1" x14ac:dyDescent="0.2">
      <c r="B65" s="106"/>
      <c r="C65" s="106"/>
      <c r="D65" s="168">
        <v>2018</v>
      </c>
      <c r="E65" s="419">
        <f t="shared" si="13"/>
        <v>148.41651062444029</v>
      </c>
      <c r="F65" s="165">
        <v>1823</v>
      </c>
      <c r="G65" s="450">
        <v>1228.3</v>
      </c>
    </row>
    <row r="66" spans="1:8" ht="6" customHeight="1" x14ac:dyDescent="0.25">
      <c r="B66" s="106"/>
      <c r="C66" s="106"/>
      <c r="D66" s="162"/>
      <c r="E66" s="186"/>
      <c r="F66" s="167"/>
      <c r="G66" s="418"/>
    </row>
    <row r="67" spans="1:8" ht="12.95" customHeight="1" x14ac:dyDescent="0.2">
      <c r="B67" s="106" t="s">
        <v>177</v>
      </c>
      <c r="C67" s="106"/>
      <c r="D67" s="168">
        <v>2016</v>
      </c>
      <c r="E67" s="419">
        <f>F67/G67*100</f>
        <v>906.51512726108535</v>
      </c>
      <c r="F67" s="167">
        <v>16989</v>
      </c>
      <c r="G67" s="450">
        <v>1874.1000000000001</v>
      </c>
    </row>
    <row r="68" spans="1:8" ht="12.95" customHeight="1" x14ac:dyDescent="0.2">
      <c r="B68" s="106"/>
      <c r="C68" s="106"/>
      <c r="D68" s="162">
        <v>2017</v>
      </c>
      <c r="E68" s="419">
        <f t="shared" ref="E68:E69" si="14">F68/G68*100</f>
        <v>716.86074334024568</v>
      </c>
      <c r="F68" s="167">
        <v>13482</v>
      </c>
      <c r="G68" s="450">
        <v>1880.7</v>
      </c>
    </row>
    <row r="69" spans="1:8" ht="12.95" customHeight="1" x14ac:dyDescent="0.2">
      <c r="A69" s="37"/>
      <c r="B69" s="85"/>
      <c r="C69" s="85"/>
      <c r="D69" s="168">
        <v>2018</v>
      </c>
      <c r="E69" s="419">
        <f t="shared" si="14"/>
        <v>642.59220008478167</v>
      </c>
      <c r="F69" s="167">
        <v>12127</v>
      </c>
      <c r="G69" s="450">
        <v>1887.2</v>
      </c>
      <c r="H69" s="37"/>
    </row>
    <row r="70" spans="1:8" ht="8.1" customHeight="1" thickBot="1" x14ac:dyDescent="0.3">
      <c r="A70" s="50"/>
      <c r="B70" s="187"/>
      <c r="C70" s="187"/>
      <c r="D70" s="187"/>
      <c r="E70" s="188"/>
      <c r="F70" s="189"/>
      <c r="G70" s="189"/>
      <c r="H70" s="50"/>
    </row>
    <row r="71" spans="1:8" x14ac:dyDescent="0.2">
      <c r="A71" s="446" t="s">
        <v>256</v>
      </c>
      <c r="H71" s="190" t="s">
        <v>101</v>
      </c>
    </row>
    <row r="72" spans="1:8" ht="12.75" customHeight="1" x14ac:dyDescent="0.2">
      <c r="A72" s="447" t="s">
        <v>257</v>
      </c>
      <c r="H72" s="421" t="s">
        <v>237</v>
      </c>
    </row>
    <row r="73" spans="1:8" ht="12" customHeight="1" x14ac:dyDescent="0.2">
      <c r="A73" s="447" t="s">
        <v>258</v>
      </c>
      <c r="H73" s="420" t="s">
        <v>1</v>
      </c>
    </row>
    <row r="74" spans="1:8" ht="12.75" customHeight="1" x14ac:dyDescent="0.25">
      <c r="A74" s="448" t="s">
        <v>259</v>
      </c>
      <c r="H74" s="191" t="s">
        <v>238</v>
      </c>
    </row>
    <row r="75" spans="1:8" x14ac:dyDescent="0.25">
      <c r="A75" s="448" t="s">
        <v>260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8" fitToWidth="0" orientation="portrait" r:id="rId1"/>
  <headerFooter>
    <oddHeader xml:space="preserve">&amp;R&amp;"-,Bold"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4"/>
  <sheetViews>
    <sheetView showGridLines="0" tabSelected="1" topLeftCell="A4" zoomScale="90" zoomScaleNormal="90" zoomScaleSheetLayoutView="100" workbookViewId="0">
      <selection activeCell="J23" sqref="J23"/>
    </sheetView>
  </sheetViews>
  <sheetFormatPr defaultRowHeight="15" x14ac:dyDescent="0.25"/>
  <cols>
    <col min="1" max="1" width="1.85546875" style="2" customWidth="1"/>
    <col min="2" max="2" width="10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203</v>
      </c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9.9499999999999993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8.1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119" customFormat="1" ht="20.100000000000001" customHeight="1" x14ac:dyDescent="0.2">
      <c r="B15" s="127" t="s">
        <v>99</v>
      </c>
      <c r="C15" s="127"/>
      <c r="D15" s="65">
        <v>2016</v>
      </c>
      <c r="E15" s="166">
        <f>SUM(F15:M15)</f>
        <v>1239</v>
      </c>
      <c r="F15" s="166">
        <f>SUM(F19,F23,F27,F31,F35,F39,F43,F47,F51,F55,F59)</f>
        <v>17</v>
      </c>
      <c r="G15" s="166">
        <f t="shared" ref="G15:M15" si="0">SUM(G19,G23,G27,G31,G35,G39,G43,G47,G51,G55,G59)</f>
        <v>165</v>
      </c>
      <c r="H15" s="166">
        <f t="shared" ref="H15:I15" si="1">SUM(H19,H23,H27,H31,H35,H39,H43,H47,H51,H55,H59)</f>
        <v>2</v>
      </c>
      <c r="I15" s="166">
        <f t="shared" si="1"/>
        <v>461</v>
      </c>
      <c r="J15" s="166"/>
      <c r="K15" s="166">
        <f t="shared" ref="K15:L15" si="2">SUM(K19,K23,K27,K31,K35,K39,K43,K47,K51,K55,K59)</f>
        <v>2</v>
      </c>
      <c r="L15" s="166">
        <f t="shared" si="2"/>
        <v>194</v>
      </c>
      <c r="M15" s="166">
        <f t="shared" si="0"/>
        <v>398</v>
      </c>
    </row>
    <row r="16" spans="1:14" s="119" customFormat="1" ht="20.100000000000001" customHeight="1" x14ac:dyDescent="0.2">
      <c r="B16" s="127"/>
      <c r="C16" s="127"/>
      <c r="D16" s="65">
        <v>2017</v>
      </c>
      <c r="E16" s="166">
        <f>SUM(F16:M16)</f>
        <v>996</v>
      </c>
      <c r="F16" s="166">
        <f t="shared" ref="F16:M17" si="3">SUM(F20,F24,F28,F32,F36,F40,F44,F48,F52,F56,F60)</f>
        <v>21</v>
      </c>
      <c r="G16" s="166">
        <f t="shared" si="3"/>
        <v>119</v>
      </c>
      <c r="H16" s="166">
        <f t="shared" ref="H16:I16" si="4">SUM(H20,H24,H28,H32,H36,H40,H44,H48,H52,H56,H60)</f>
        <v>2</v>
      </c>
      <c r="I16" s="166">
        <f t="shared" si="4"/>
        <v>333</v>
      </c>
      <c r="J16" s="166"/>
      <c r="K16" s="143" t="s">
        <v>51</v>
      </c>
      <c r="L16" s="166">
        <f t="shared" ref="L16" si="5">SUM(L20,L24,L28,L32,L36,L40,L44,L48,L52,L56,L60)</f>
        <v>157</v>
      </c>
      <c r="M16" s="166">
        <f t="shared" si="3"/>
        <v>364</v>
      </c>
    </row>
    <row r="17" spans="2:13" s="119" customFormat="1" ht="20.100000000000001" customHeight="1" x14ac:dyDescent="0.2">
      <c r="B17" s="127"/>
      <c r="C17" s="127"/>
      <c r="D17" s="65">
        <v>2018</v>
      </c>
      <c r="E17" s="166">
        <f>SUM(F17:M17)</f>
        <v>989</v>
      </c>
      <c r="F17" s="166">
        <f t="shared" si="3"/>
        <v>9</v>
      </c>
      <c r="G17" s="166">
        <f t="shared" si="3"/>
        <v>119</v>
      </c>
      <c r="H17" s="166">
        <f t="shared" ref="H17:I17" si="6">SUM(H21,H25,H29,H33,H37,H41,H45,H49,H53,H57,H61)</f>
        <v>2</v>
      </c>
      <c r="I17" s="166">
        <f t="shared" si="6"/>
        <v>353</v>
      </c>
      <c r="J17" s="166"/>
      <c r="K17" s="143" t="s">
        <v>51</v>
      </c>
      <c r="L17" s="166">
        <f t="shared" ref="L17" si="7">SUM(L21,L25,L29,L33,L37,L41,L45,L49,L53,L57,L61)</f>
        <v>169</v>
      </c>
      <c r="M17" s="166">
        <f t="shared" si="3"/>
        <v>337</v>
      </c>
    </row>
    <row r="18" spans="2:13" s="119" customFormat="1" ht="8.1" customHeight="1" x14ac:dyDescent="0.2">
      <c r="B18" s="127"/>
      <c r="C18" s="127"/>
      <c r="D18" s="65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2:13" s="119" customFormat="1" ht="20.100000000000001" customHeight="1" x14ac:dyDescent="0.2">
      <c r="B19" s="85" t="s">
        <v>57</v>
      </c>
      <c r="C19" s="85"/>
      <c r="D19" s="162">
        <v>2016</v>
      </c>
      <c r="E19" s="167">
        <f>SUM(F19:M19)</f>
        <v>69</v>
      </c>
      <c r="F19" s="167">
        <v>2</v>
      </c>
      <c r="G19" s="167">
        <v>8</v>
      </c>
      <c r="H19" s="165" t="s">
        <v>51</v>
      </c>
      <c r="I19" s="167">
        <v>17</v>
      </c>
      <c r="J19" s="167"/>
      <c r="K19" s="165" t="s">
        <v>51</v>
      </c>
      <c r="L19" s="167">
        <v>11</v>
      </c>
      <c r="M19" s="167">
        <v>31</v>
      </c>
    </row>
    <row r="20" spans="2:13" s="119" customFormat="1" ht="20.100000000000001" customHeight="1" x14ac:dyDescent="0.2">
      <c r="B20" s="85"/>
      <c r="C20" s="85"/>
      <c r="D20" s="162">
        <v>2017</v>
      </c>
      <c r="E20" s="167">
        <f>SUM(F20:M20)</f>
        <v>65</v>
      </c>
      <c r="F20" s="167" t="s">
        <v>51</v>
      </c>
      <c r="G20" s="167">
        <v>11</v>
      </c>
      <c r="H20" s="165" t="s">
        <v>51</v>
      </c>
      <c r="I20" s="167">
        <v>17</v>
      </c>
      <c r="J20" s="167"/>
      <c r="K20" s="165" t="s">
        <v>51</v>
      </c>
      <c r="L20" s="167">
        <v>8</v>
      </c>
      <c r="M20" s="167">
        <v>29</v>
      </c>
    </row>
    <row r="21" spans="2:13" s="119" customFormat="1" ht="20.100000000000001" customHeight="1" x14ac:dyDescent="0.2">
      <c r="B21" s="85"/>
      <c r="C21" s="85"/>
      <c r="D21" s="162">
        <v>2018</v>
      </c>
      <c r="E21" s="167">
        <f>SUM(F21:M21)</f>
        <v>55</v>
      </c>
      <c r="F21" s="165" t="s">
        <v>51</v>
      </c>
      <c r="G21" s="167">
        <v>5</v>
      </c>
      <c r="H21" s="165" t="s">
        <v>51</v>
      </c>
      <c r="I21" s="167">
        <v>15</v>
      </c>
      <c r="J21" s="167"/>
      <c r="K21" s="165" t="s">
        <v>51</v>
      </c>
      <c r="L21" s="167">
        <v>9</v>
      </c>
      <c r="M21" s="167">
        <v>26</v>
      </c>
    </row>
    <row r="22" spans="2:13" s="119" customFormat="1" ht="8.1" customHeight="1" x14ac:dyDescent="0.2">
      <c r="B22" s="85"/>
      <c r="C22" s="85"/>
      <c r="D22" s="162"/>
      <c r="E22" s="167"/>
      <c r="F22" s="165"/>
      <c r="G22" s="167"/>
      <c r="H22" s="165"/>
      <c r="I22" s="165"/>
      <c r="J22" s="167"/>
      <c r="K22" s="165"/>
      <c r="L22" s="165"/>
      <c r="M22" s="167"/>
    </row>
    <row r="23" spans="2:13" s="119" customFormat="1" ht="20.100000000000001" customHeight="1" x14ac:dyDescent="0.2">
      <c r="B23" s="85" t="s">
        <v>58</v>
      </c>
      <c r="C23" s="85"/>
      <c r="D23" s="162">
        <v>2016</v>
      </c>
      <c r="E23" s="165">
        <f>SUM(F23:M23)</f>
        <v>20</v>
      </c>
      <c r="F23" s="165" t="s">
        <v>51</v>
      </c>
      <c r="G23" s="165">
        <v>1</v>
      </c>
      <c r="H23" s="165" t="s">
        <v>51</v>
      </c>
      <c r="I23" s="165">
        <v>8</v>
      </c>
      <c r="J23" s="165"/>
      <c r="K23" s="165" t="s">
        <v>51</v>
      </c>
      <c r="L23" s="165">
        <v>4</v>
      </c>
      <c r="M23" s="165">
        <v>7</v>
      </c>
    </row>
    <row r="24" spans="2:13" s="119" customFormat="1" ht="20.100000000000001" customHeight="1" x14ac:dyDescent="0.2">
      <c r="B24" s="85"/>
      <c r="C24" s="85"/>
      <c r="D24" s="162">
        <v>2017</v>
      </c>
      <c r="E24" s="165">
        <f>SUM(F24:M24)</f>
        <v>11</v>
      </c>
      <c r="F24" s="165" t="s">
        <v>51</v>
      </c>
      <c r="G24" s="165">
        <v>1</v>
      </c>
      <c r="H24" s="165" t="s">
        <v>51</v>
      </c>
      <c r="I24" s="165">
        <v>7</v>
      </c>
      <c r="J24" s="165"/>
      <c r="K24" s="165" t="s">
        <v>51</v>
      </c>
      <c r="L24" s="165">
        <v>1</v>
      </c>
      <c r="M24" s="165">
        <v>2</v>
      </c>
    </row>
    <row r="25" spans="2:13" s="119" customFormat="1" ht="20.100000000000001" customHeight="1" x14ac:dyDescent="0.2">
      <c r="B25" s="85"/>
      <c r="C25" s="85"/>
      <c r="D25" s="162">
        <v>2018</v>
      </c>
      <c r="E25" s="165">
        <f>SUM(F25:M25)</f>
        <v>15</v>
      </c>
      <c r="F25" s="165" t="s">
        <v>51</v>
      </c>
      <c r="G25" s="165">
        <v>3</v>
      </c>
      <c r="H25" s="165" t="s">
        <v>51</v>
      </c>
      <c r="I25" s="165">
        <v>5</v>
      </c>
      <c r="J25" s="165"/>
      <c r="K25" s="165" t="s">
        <v>51</v>
      </c>
      <c r="L25" s="165">
        <v>4</v>
      </c>
      <c r="M25" s="165">
        <v>3</v>
      </c>
    </row>
    <row r="26" spans="2:13" s="119" customFormat="1" ht="8.1" customHeight="1" x14ac:dyDescent="0.2">
      <c r="B26" s="85"/>
      <c r="C26" s="85"/>
      <c r="D26" s="162"/>
      <c r="E26" s="165"/>
      <c r="F26" s="165"/>
      <c r="G26" s="165"/>
      <c r="H26" s="165"/>
      <c r="I26" s="165"/>
      <c r="J26" s="165"/>
      <c r="K26" s="165"/>
      <c r="L26" s="165"/>
      <c r="M26" s="165"/>
    </row>
    <row r="27" spans="2:13" s="119" customFormat="1" ht="20.100000000000001" customHeight="1" x14ac:dyDescent="0.2">
      <c r="B27" s="85" t="s">
        <v>59</v>
      </c>
      <c r="C27" s="85"/>
      <c r="D27" s="162">
        <v>2016</v>
      </c>
      <c r="E27" s="167">
        <f>SUM(F27:M27)</f>
        <v>343</v>
      </c>
      <c r="F27" s="167">
        <v>2</v>
      </c>
      <c r="G27" s="167">
        <v>37</v>
      </c>
      <c r="H27" s="165" t="s">
        <v>51</v>
      </c>
      <c r="I27" s="167">
        <v>149</v>
      </c>
      <c r="J27" s="167"/>
      <c r="K27" s="165" t="s">
        <v>51</v>
      </c>
      <c r="L27" s="167">
        <v>61</v>
      </c>
      <c r="M27" s="167">
        <v>94</v>
      </c>
    </row>
    <row r="28" spans="2:13" s="119" customFormat="1" ht="20.100000000000001" customHeight="1" x14ac:dyDescent="0.2">
      <c r="B28" s="85"/>
      <c r="C28" s="85"/>
      <c r="D28" s="162">
        <v>2017</v>
      </c>
      <c r="E28" s="167">
        <f>SUM(F28:M28)</f>
        <v>165</v>
      </c>
      <c r="F28" s="167">
        <v>3</v>
      </c>
      <c r="G28" s="167">
        <v>22</v>
      </c>
      <c r="H28" s="165" t="s">
        <v>51</v>
      </c>
      <c r="I28" s="167">
        <v>42</v>
      </c>
      <c r="J28" s="167"/>
      <c r="K28" s="165" t="s">
        <v>51</v>
      </c>
      <c r="L28" s="167">
        <v>30</v>
      </c>
      <c r="M28" s="167">
        <v>68</v>
      </c>
    </row>
    <row r="29" spans="2:13" s="119" customFormat="1" ht="20.100000000000001" customHeight="1" x14ac:dyDescent="0.2">
      <c r="B29" s="85"/>
      <c r="C29" s="85"/>
      <c r="D29" s="162">
        <v>2018</v>
      </c>
      <c r="E29" s="167">
        <f>SUM(F29:M29)</f>
        <v>196</v>
      </c>
      <c r="F29" s="167">
        <v>1</v>
      </c>
      <c r="G29" s="167">
        <v>20</v>
      </c>
      <c r="H29" s="165" t="s">
        <v>51</v>
      </c>
      <c r="I29" s="167">
        <v>83</v>
      </c>
      <c r="J29" s="167"/>
      <c r="K29" s="165" t="s">
        <v>51</v>
      </c>
      <c r="L29" s="167">
        <v>28</v>
      </c>
      <c r="M29" s="167">
        <v>64</v>
      </c>
    </row>
    <row r="30" spans="2:13" s="119" customFormat="1" ht="8.1" customHeight="1" x14ac:dyDescent="0.2">
      <c r="B30" s="85"/>
      <c r="C30" s="85"/>
      <c r="D30" s="162"/>
      <c r="E30" s="167"/>
      <c r="F30" s="167"/>
      <c r="G30" s="167"/>
      <c r="H30" s="165"/>
      <c r="I30" s="165"/>
      <c r="J30" s="167"/>
      <c r="K30" s="165"/>
      <c r="L30" s="165"/>
      <c r="M30" s="167"/>
    </row>
    <row r="31" spans="2:13" s="119" customFormat="1" ht="20.100000000000001" customHeight="1" x14ac:dyDescent="0.2">
      <c r="B31" s="85" t="s">
        <v>60</v>
      </c>
      <c r="C31" s="85"/>
      <c r="D31" s="162">
        <v>2016</v>
      </c>
      <c r="E31" s="165">
        <f>SUM(F31:M31)</f>
        <v>365</v>
      </c>
      <c r="F31" s="165">
        <v>6</v>
      </c>
      <c r="G31" s="165">
        <v>29</v>
      </c>
      <c r="H31" s="165">
        <v>1</v>
      </c>
      <c r="I31" s="165">
        <v>169</v>
      </c>
      <c r="J31" s="165"/>
      <c r="K31" s="165" t="s">
        <v>51</v>
      </c>
      <c r="L31" s="165">
        <v>52</v>
      </c>
      <c r="M31" s="165">
        <v>108</v>
      </c>
    </row>
    <row r="32" spans="2:13" s="119" customFormat="1" ht="20.100000000000001" customHeight="1" x14ac:dyDescent="0.2">
      <c r="B32" s="85"/>
      <c r="C32" s="85"/>
      <c r="D32" s="162">
        <v>2017</v>
      </c>
      <c r="E32" s="165">
        <f>SUM(F32:M32)</f>
        <v>372</v>
      </c>
      <c r="F32" s="165">
        <v>7</v>
      </c>
      <c r="G32" s="165">
        <v>32</v>
      </c>
      <c r="H32" s="165">
        <v>1</v>
      </c>
      <c r="I32" s="165">
        <v>140</v>
      </c>
      <c r="J32" s="165"/>
      <c r="K32" s="165" t="s">
        <v>51</v>
      </c>
      <c r="L32" s="165">
        <v>65</v>
      </c>
      <c r="M32" s="165">
        <v>127</v>
      </c>
    </row>
    <row r="33" spans="2:13" s="119" customFormat="1" ht="20.100000000000001" customHeight="1" x14ac:dyDescent="0.2">
      <c r="B33" s="85"/>
      <c r="C33" s="85"/>
      <c r="D33" s="162">
        <v>2018</v>
      </c>
      <c r="E33" s="165">
        <f>SUM(F33:M33)</f>
        <v>371</v>
      </c>
      <c r="F33" s="165">
        <v>5</v>
      </c>
      <c r="G33" s="165">
        <v>32</v>
      </c>
      <c r="H33" s="165">
        <v>1</v>
      </c>
      <c r="I33" s="165">
        <v>141</v>
      </c>
      <c r="J33" s="165"/>
      <c r="K33" s="165" t="s">
        <v>51</v>
      </c>
      <c r="L33" s="165">
        <v>65</v>
      </c>
      <c r="M33" s="165">
        <v>127</v>
      </c>
    </row>
    <row r="34" spans="2:13" s="119" customFormat="1" ht="8.1" customHeight="1" x14ac:dyDescent="0.2">
      <c r="B34" s="85"/>
      <c r="C34" s="85"/>
      <c r="D34" s="162"/>
      <c r="E34" s="165"/>
      <c r="F34" s="165"/>
      <c r="G34" s="165"/>
      <c r="H34" s="165"/>
      <c r="I34" s="165"/>
      <c r="J34" s="165"/>
      <c r="K34" s="165"/>
      <c r="L34" s="165"/>
      <c r="M34" s="165"/>
    </row>
    <row r="35" spans="2:13" s="119" customFormat="1" ht="20.100000000000001" customHeight="1" x14ac:dyDescent="0.2">
      <c r="B35" s="85" t="s">
        <v>61</v>
      </c>
      <c r="C35" s="85"/>
      <c r="D35" s="162">
        <v>2016</v>
      </c>
      <c r="E35" s="167">
        <f>SUM(F35:M35)</f>
        <v>118</v>
      </c>
      <c r="F35" s="167">
        <v>1</v>
      </c>
      <c r="G35" s="167">
        <v>20</v>
      </c>
      <c r="H35" s="167">
        <v>1</v>
      </c>
      <c r="I35" s="167">
        <v>31</v>
      </c>
      <c r="J35" s="167"/>
      <c r="K35" s="165" t="s">
        <v>51</v>
      </c>
      <c r="L35" s="167">
        <v>19</v>
      </c>
      <c r="M35" s="167">
        <v>46</v>
      </c>
    </row>
    <row r="36" spans="2:13" s="119" customFormat="1" ht="20.100000000000001" customHeight="1" x14ac:dyDescent="0.2">
      <c r="B36" s="85"/>
      <c r="C36" s="85"/>
      <c r="D36" s="162">
        <v>2017</v>
      </c>
      <c r="E36" s="167">
        <f>SUM(F36:M36)</f>
        <v>92</v>
      </c>
      <c r="F36" s="167">
        <v>4</v>
      </c>
      <c r="G36" s="167">
        <v>6</v>
      </c>
      <c r="H36" s="167">
        <v>1</v>
      </c>
      <c r="I36" s="167">
        <v>32</v>
      </c>
      <c r="J36" s="167"/>
      <c r="K36" s="165" t="s">
        <v>51</v>
      </c>
      <c r="L36" s="167">
        <v>15</v>
      </c>
      <c r="M36" s="167">
        <v>34</v>
      </c>
    </row>
    <row r="37" spans="2:13" s="119" customFormat="1" ht="20.100000000000001" customHeight="1" x14ac:dyDescent="0.2">
      <c r="B37" s="85"/>
      <c r="C37" s="85"/>
      <c r="D37" s="162">
        <v>2018</v>
      </c>
      <c r="E37" s="167">
        <f>SUM(F37:M37)</f>
        <v>93</v>
      </c>
      <c r="F37" s="167" t="s">
        <v>51</v>
      </c>
      <c r="G37" s="167">
        <v>14</v>
      </c>
      <c r="H37" s="165" t="s">
        <v>51</v>
      </c>
      <c r="I37" s="167">
        <v>29</v>
      </c>
      <c r="J37" s="167"/>
      <c r="K37" s="165" t="s">
        <v>51</v>
      </c>
      <c r="L37" s="167">
        <v>13</v>
      </c>
      <c r="M37" s="167">
        <v>37</v>
      </c>
    </row>
    <row r="38" spans="2:13" s="119" customFormat="1" ht="8.1" customHeight="1" x14ac:dyDescent="0.2">
      <c r="B38" s="85"/>
      <c r="C38" s="85"/>
      <c r="D38" s="162"/>
      <c r="E38" s="167"/>
      <c r="F38" s="167"/>
      <c r="G38" s="167"/>
      <c r="H38" s="165"/>
      <c r="I38" s="165"/>
      <c r="J38" s="167"/>
      <c r="K38" s="165"/>
      <c r="L38" s="165"/>
      <c r="M38" s="167"/>
    </row>
    <row r="39" spans="2:13" s="119" customFormat="1" ht="20.100000000000001" customHeight="1" x14ac:dyDescent="0.2">
      <c r="B39" s="85" t="s">
        <v>62</v>
      </c>
      <c r="C39" s="85"/>
      <c r="D39" s="162">
        <v>2016</v>
      </c>
      <c r="E39" s="165">
        <f>SUM(F39:M39)</f>
        <v>149</v>
      </c>
      <c r="F39" s="165">
        <v>4</v>
      </c>
      <c r="G39" s="165">
        <v>24</v>
      </c>
      <c r="H39" s="165" t="s">
        <v>51</v>
      </c>
      <c r="I39" s="165">
        <v>52</v>
      </c>
      <c r="J39" s="165"/>
      <c r="K39" s="165" t="s">
        <v>51</v>
      </c>
      <c r="L39" s="165">
        <v>23</v>
      </c>
      <c r="M39" s="165">
        <v>46</v>
      </c>
    </row>
    <row r="40" spans="2:13" s="119" customFormat="1" ht="20.100000000000001" customHeight="1" x14ac:dyDescent="0.2">
      <c r="B40" s="85"/>
      <c r="C40" s="85"/>
      <c r="D40" s="162">
        <v>2017</v>
      </c>
      <c r="E40" s="165">
        <f>SUM(F40:M40)</f>
        <v>171</v>
      </c>
      <c r="F40" s="165">
        <v>3</v>
      </c>
      <c r="G40" s="165">
        <v>22</v>
      </c>
      <c r="H40" s="165" t="s">
        <v>51</v>
      </c>
      <c r="I40" s="165">
        <v>65</v>
      </c>
      <c r="J40" s="165"/>
      <c r="K40" s="165" t="s">
        <v>51</v>
      </c>
      <c r="L40" s="165">
        <v>19</v>
      </c>
      <c r="M40" s="165">
        <v>62</v>
      </c>
    </row>
    <row r="41" spans="2:13" s="119" customFormat="1" ht="20.100000000000001" customHeight="1" x14ac:dyDescent="0.2">
      <c r="B41" s="85"/>
      <c r="C41" s="85"/>
      <c r="D41" s="162">
        <v>2018</v>
      </c>
      <c r="E41" s="165">
        <f>SUM(F41:M41)</f>
        <v>131</v>
      </c>
      <c r="F41" s="165">
        <v>1</v>
      </c>
      <c r="G41" s="165">
        <v>17</v>
      </c>
      <c r="H41" s="165" t="s">
        <v>51</v>
      </c>
      <c r="I41" s="165">
        <v>49</v>
      </c>
      <c r="J41" s="165"/>
      <c r="K41" s="165" t="s">
        <v>51</v>
      </c>
      <c r="L41" s="165">
        <v>16</v>
      </c>
      <c r="M41" s="165">
        <v>48</v>
      </c>
    </row>
    <row r="42" spans="2:13" s="119" customFormat="1" ht="8.1" customHeight="1" x14ac:dyDescent="0.2">
      <c r="B42" s="85"/>
      <c r="C42" s="85"/>
      <c r="D42" s="162"/>
      <c r="E42" s="165"/>
      <c r="F42" s="165"/>
      <c r="G42" s="165"/>
      <c r="H42" s="165"/>
      <c r="I42" s="165"/>
      <c r="J42" s="165"/>
      <c r="K42" s="165"/>
      <c r="L42" s="165"/>
      <c r="M42" s="165"/>
    </row>
    <row r="43" spans="2:13" s="119" customFormat="1" ht="20.100000000000001" customHeight="1" x14ac:dyDescent="0.2">
      <c r="B43" s="85" t="s">
        <v>63</v>
      </c>
      <c r="C43" s="85"/>
      <c r="D43" s="162">
        <v>2016</v>
      </c>
      <c r="E43" s="167">
        <f>SUM(F43:M43)</f>
        <v>59</v>
      </c>
      <c r="F43" s="165">
        <v>1</v>
      </c>
      <c r="G43" s="167">
        <v>16</v>
      </c>
      <c r="H43" s="165" t="s">
        <v>51</v>
      </c>
      <c r="I43" s="167">
        <v>5</v>
      </c>
      <c r="J43" s="167"/>
      <c r="K43" s="167">
        <v>2</v>
      </c>
      <c r="L43" s="167">
        <v>4</v>
      </c>
      <c r="M43" s="167">
        <v>31</v>
      </c>
    </row>
    <row r="44" spans="2:13" s="119" customFormat="1" ht="20.100000000000001" customHeight="1" x14ac:dyDescent="0.2">
      <c r="B44" s="85"/>
      <c r="C44" s="85"/>
      <c r="D44" s="162">
        <v>2017</v>
      </c>
      <c r="E44" s="167">
        <f>SUM(F44:M44)</f>
        <v>42</v>
      </c>
      <c r="F44" s="167">
        <v>3</v>
      </c>
      <c r="G44" s="167">
        <v>6</v>
      </c>
      <c r="H44" s="165" t="s">
        <v>51</v>
      </c>
      <c r="I44" s="167">
        <v>8</v>
      </c>
      <c r="J44" s="167"/>
      <c r="K44" s="165" t="s">
        <v>51</v>
      </c>
      <c r="L44" s="167">
        <v>7</v>
      </c>
      <c r="M44" s="167">
        <v>18</v>
      </c>
    </row>
    <row r="45" spans="2:13" s="119" customFormat="1" ht="20.100000000000001" customHeight="1" x14ac:dyDescent="0.2">
      <c r="B45" s="85"/>
      <c r="C45" s="85"/>
      <c r="D45" s="162">
        <v>2018</v>
      </c>
      <c r="E45" s="167">
        <f>SUM(F45:M45)</f>
        <v>54</v>
      </c>
      <c r="F45" s="167">
        <v>2</v>
      </c>
      <c r="G45" s="167">
        <v>13</v>
      </c>
      <c r="H45" s="167">
        <v>1</v>
      </c>
      <c r="I45" s="167">
        <v>9</v>
      </c>
      <c r="J45" s="167"/>
      <c r="K45" s="165" t="s">
        <v>51</v>
      </c>
      <c r="L45" s="167">
        <v>13</v>
      </c>
      <c r="M45" s="167">
        <v>16</v>
      </c>
    </row>
    <row r="46" spans="2:13" s="119" customFormat="1" ht="8.1" customHeight="1" x14ac:dyDescent="0.2">
      <c r="B46" s="85"/>
      <c r="C46" s="85"/>
      <c r="D46" s="162"/>
      <c r="E46" s="167"/>
      <c r="F46" s="167"/>
      <c r="G46" s="167"/>
      <c r="H46" s="165"/>
      <c r="I46" s="165"/>
      <c r="J46" s="167"/>
      <c r="K46" s="165"/>
      <c r="L46" s="165"/>
      <c r="M46" s="167"/>
    </row>
    <row r="47" spans="2:13" s="119" customFormat="1" ht="20.100000000000001" customHeight="1" x14ac:dyDescent="0.2">
      <c r="B47" s="85" t="s">
        <v>64</v>
      </c>
      <c r="C47" s="85"/>
      <c r="D47" s="162">
        <v>2016</v>
      </c>
      <c r="E47" s="165">
        <f>SUM(F47:M47)</f>
        <v>26</v>
      </c>
      <c r="F47" s="165">
        <v>1</v>
      </c>
      <c r="G47" s="165">
        <v>10</v>
      </c>
      <c r="H47" s="165" t="s">
        <v>51</v>
      </c>
      <c r="I47" s="165">
        <v>4</v>
      </c>
      <c r="J47" s="165"/>
      <c r="K47" s="165" t="s">
        <v>51</v>
      </c>
      <c r="L47" s="165">
        <v>2</v>
      </c>
      <c r="M47" s="165">
        <v>9</v>
      </c>
    </row>
    <row r="48" spans="2:13" s="119" customFormat="1" ht="20.100000000000001" customHeight="1" x14ac:dyDescent="0.2">
      <c r="B48" s="85"/>
      <c r="C48" s="85"/>
      <c r="D48" s="162">
        <v>2017</v>
      </c>
      <c r="E48" s="165">
        <f>SUM(F48:M48)</f>
        <v>21</v>
      </c>
      <c r="F48" s="165" t="s">
        <v>51</v>
      </c>
      <c r="G48" s="165">
        <v>7</v>
      </c>
      <c r="H48" s="165" t="s">
        <v>51</v>
      </c>
      <c r="I48" s="165">
        <v>6</v>
      </c>
      <c r="J48" s="165"/>
      <c r="K48" s="165" t="s">
        <v>51</v>
      </c>
      <c r="L48" s="165" t="s">
        <v>51</v>
      </c>
      <c r="M48" s="165">
        <v>8</v>
      </c>
    </row>
    <row r="49" spans="1:14" s="119" customFormat="1" ht="20.100000000000001" customHeight="1" x14ac:dyDescent="0.2">
      <c r="B49" s="85"/>
      <c r="C49" s="85"/>
      <c r="D49" s="162">
        <v>2018</v>
      </c>
      <c r="E49" s="165">
        <f>SUM(F49:M49)</f>
        <v>26</v>
      </c>
      <c r="F49" s="165" t="s">
        <v>51</v>
      </c>
      <c r="G49" s="165">
        <v>6</v>
      </c>
      <c r="H49" s="165" t="s">
        <v>51</v>
      </c>
      <c r="I49" s="165">
        <v>11</v>
      </c>
      <c r="J49" s="165"/>
      <c r="K49" s="165" t="s">
        <v>51</v>
      </c>
      <c r="L49" s="165">
        <v>3</v>
      </c>
      <c r="M49" s="165">
        <v>6</v>
      </c>
    </row>
    <row r="50" spans="1:14" s="119" customFormat="1" ht="8.1" customHeight="1" x14ac:dyDescent="0.2">
      <c r="B50" s="85"/>
      <c r="C50" s="85"/>
      <c r="D50" s="162"/>
      <c r="E50" s="165"/>
      <c r="F50" s="165"/>
      <c r="G50" s="165"/>
      <c r="H50" s="165"/>
      <c r="I50" s="165"/>
      <c r="J50" s="165"/>
      <c r="K50" s="165"/>
      <c r="L50" s="165"/>
      <c r="M50" s="165"/>
    </row>
    <row r="51" spans="1:14" s="119" customFormat="1" ht="20.100000000000001" customHeight="1" x14ac:dyDescent="0.2">
      <c r="B51" s="85" t="s">
        <v>65</v>
      </c>
      <c r="C51" s="85"/>
      <c r="D51" s="162">
        <v>2016</v>
      </c>
      <c r="E51" s="167">
        <f>SUM(F51:M51)</f>
        <v>50</v>
      </c>
      <c r="F51" s="167" t="s">
        <v>51</v>
      </c>
      <c r="G51" s="167">
        <v>7</v>
      </c>
      <c r="H51" s="165" t="s">
        <v>51</v>
      </c>
      <c r="I51" s="167">
        <v>16</v>
      </c>
      <c r="J51" s="167"/>
      <c r="K51" s="165" t="s">
        <v>51</v>
      </c>
      <c r="L51" s="167">
        <v>13</v>
      </c>
      <c r="M51" s="167">
        <v>14</v>
      </c>
    </row>
    <row r="52" spans="1:14" s="119" customFormat="1" ht="20.100000000000001" customHeight="1" x14ac:dyDescent="0.2">
      <c r="B52" s="85"/>
      <c r="C52" s="85"/>
      <c r="D52" s="162">
        <v>2017</v>
      </c>
      <c r="E52" s="167">
        <f>SUM(F52:M52)</f>
        <v>29</v>
      </c>
      <c r="F52" s="165">
        <v>1</v>
      </c>
      <c r="G52" s="167">
        <v>3</v>
      </c>
      <c r="H52" s="165" t="s">
        <v>51</v>
      </c>
      <c r="I52" s="167">
        <v>10</v>
      </c>
      <c r="J52" s="167"/>
      <c r="K52" s="165" t="s">
        <v>51</v>
      </c>
      <c r="L52" s="167">
        <v>6</v>
      </c>
      <c r="M52" s="167">
        <v>9</v>
      </c>
    </row>
    <row r="53" spans="1:14" s="119" customFormat="1" ht="20.100000000000001" customHeight="1" x14ac:dyDescent="0.2">
      <c r="B53" s="85"/>
      <c r="C53" s="85"/>
      <c r="D53" s="162">
        <v>2018</v>
      </c>
      <c r="E53" s="167">
        <f>SUM(F53:M53)</f>
        <v>29</v>
      </c>
      <c r="F53" s="167" t="s">
        <v>51</v>
      </c>
      <c r="G53" s="167">
        <v>6</v>
      </c>
      <c r="H53" s="165" t="s">
        <v>51</v>
      </c>
      <c r="I53" s="167">
        <v>6</v>
      </c>
      <c r="J53" s="167"/>
      <c r="K53" s="165" t="s">
        <v>51</v>
      </c>
      <c r="L53" s="167">
        <v>13</v>
      </c>
      <c r="M53" s="167">
        <v>4</v>
      </c>
    </row>
    <row r="54" spans="1:14" s="119" customFormat="1" ht="8.1" customHeight="1" x14ac:dyDescent="0.2">
      <c r="B54" s="85"/>
      <c r="C54" s="85"/>
      <c r="D54" s="162"/>
      <c r="E54" s="167"/>
      <c r="F54" s="167"/>
      <c r="G54" s="167"/>
      <c r="H54" s="165"/>
      <c r="I54" s="165"/>
      <c r="J54" s="167"/>
      <c r="K54" s="165"/>
      <c r="L54" s="165"/>
      <c r="M54" s="167"/>
    </row>
    <row r="55" spans="1:14" s="53" customFormat="1" ht="20.100000000000001" customHeight="1" x14ac:dyDescent="0.2">
      <c r="B55" s="85" t="s">
        <v>66</v>
      </c>
      <c r="C55" s="85"/>
      <c r="D55" s="162">
        <v>2016</v>
      </c>
      <c r="E55" s="165">
        <f>SUM(F55:M55)</f>
        <v>20</v>
      </c>
      <c r="F55" s="165" t="s">
        <v>51</v>
      </c>
      <c r="G55" s="165">
        <v>11</v>
      </c>
      <c r="H55" s="165" t="s">
        <v>51</v>
      </c>
      <c r="I55" s="165">
        <v>3</v>
      </c>
      <c r="J55" s="165"/>
      <c r="K55" s="165" t="s">
        <v>51</v>
      </c>
      <c r="L55" s="165">
        <v>1</v>
      </c>
      <c r="M55" s="165">
        <v>5</v>
      </c>
    </row>
    <row r="56" spans="1:14" s="53" customFormat="1" ht="20.100000000000001" customHeight="1" x14ac:dyDescent="0.2">
      <c r="B56" s="85"/>
      <c r="C56" s="85"/>
      <c r="D56" s="162">
        <v>2017</v>
      </c>
      <c r="E56" s="165">
        <f>SUM(F56:M56)</f>
        <v>11</v>
      </c>
      <c r="F56" s="165" t="s">
        <v>51</v>
      </c>
      <c r="G56" s="165">
        <v>1</v>
      </c>
      <c r="H56" s="165" t="s">
        <v>51</v>
      </c>
      <c r="I56" s="165">
        <v>3</v>
      </c>
      <c r="J56" s="165"/>
      <c r="K56" s="165" t="s">
        <v>51</v>
      </c>
      <c r="L56" s="165">
        <v>4</v>
      </c>
      <c r="M56" s="165">
        <v>3</v>
      </c>
    </row>
    <row r="57" spans="1:14" s="53" customFormat="1" ht="20.100000000000001" customHeight="1" x14ac:dyDescent="0.2">
      <c r="B57" s="85"/>
      <c r="C57" s="85"/>
      <c r="D57" s="162">
        <v>2018</v>
      </c>
      <c r="E57" s="165">
        <f>SUM(F57:M57)</f>
        <v>6</v>
      </c>
      <c r="F57" s="165" t="s">
        <v>51</v>
      </c>
      <c r="G57" s="165" t="s">
        <v>51</v>
      </c>
      <c r="H57" s="165" t="s">
        <v>51</v>
      </c>
      <c r="I57" s="165">
        <v>3</v>
      </c>
      <c r="J57" s="165"/>
      <c r="K57" s="165" t="s">
        <v>51</v>
      </c>
      <c r="L57" s="165">
        <v>1</v>
      </c>
      <c r="M57" s="165">
        <v>2</v>
      </c>
    </row>
    <row r="58" spans="1:14" s="53" customFormat="1" ht="8.1" customHeight="1" x14ac:dyDescent="0.2">
      <c r="B58" s="85"/>
      <c r="C58" s="85"/>
      <c r="D58" s="162"/>
      <c r="E58" s="165"/>
      <c r="F58" s="165"/>
      <c r="G58" s="165"/>
      <c r="H58" s="165"/>
      <c r="I58" s="165"/>
      <c r="J58" s="165"/>
      <c r="K58" s="165"/>
      <c r="L58" s="165"/>
      <c r="M58" s="165"/>
    </row>
    <row r="59" spans="1:14" s="53" customFormat="1" ht="20.100000000000001" customHeight="1" x14ac:dyDescent="0.2">
      <c r="B59" s="85" t="s">
        <v>67</v>
      </c>
      <c r="C59" s="85"/>
      <c r="D59" s="162">
        <v>2016</v>
      </c>
      <c r="E59" s="167">
        <f>SUM(F59:M59)</f>
        <v>20</v>
      </c>
      <c r="F59" s="167" t="s">
        <v>51</v>
      </c>
      <c r="G59" s="167">
        <v>2</v>
      </c>
      <c r="H59" s="165" t="s">
        <v>51</v>
      </c>
      <c r="I59" s="167">
        <v>7</v>
      </c>
      <c r="J59" s="167"/>
      <c r="K59" s="165" t="s">
        <v>51</v>
      </c>
      <c r="L59" s="167">
        <v>4</v>
      </c>
      <c r="M59" s="167">
        <v>7</v>
      </c>
    </row>
    <row r="60" spans="1:14" s="53" customFormat="1" ht="20.100000000000001" customHeight="1" x14ac:dyDescent="0.2">
      <c r="B60" s="85"/>
      <c r="C60" s="85"/>
      <c r="D60" s="162">
        <v>2017</v>
      </c>
      <c r="E60" s="167">
        <f>SUM(F60:M60)</f>
        <v>17</v>
      </c>
      <c r="F60" s="165" t="s">
        <v>51</v>
      </c>
      <c r="G60" s="167">
        <v>8</v>
      </c>
      <c r="H60" s="165" t="s">
        <v>51</v>
      </c>
      <c r="I60" s="167">
        <v>3</v>
      </c>
      <c r="J60" s="167"/>
      <c r="K60" s="165" t="s">
        <v>51</v>
      </c>
      <c r="L60" s="167">
        <v>2</v>
      </c>
      <c r="M60" s="167">
        <v>4</v>
      </c>
    </row>
    <row r="61" spans="1:14" s="53" customFormat="1" ht="20.100000000000001" customHeight="1" x14ac:dyDescent="0.2">
      <c r="B61" s="85"/>
      <c r="C61" s="85"/>
      <c r="D61" s="162">
        <v>2018</v>
      </c>
      <c r="E61" s="167">
        <f>SUM(F61:M61)</f>
        <v>13</v>
      </c>
      <c r="F61" s="165" t="s">
        <v>51</v>
      </c>
      <c r="G61" s="167">
        <v>3</v>
      </c>
      <c r="H61" s="165" t="s">
        <v>51</v>
      </c>
      <c r="I61" s="167">
        <v>2</v>
      </c>
      <c r="J61" s="167"/>
      <c r="K61" s="165" t="s">
        <v>51</v>
      </c>
      <c r="L61" s="167">
        <v>4</v>
      </c>
      <c r="M61" s="167">
        <v>4</v>
      </c>
    </row>
    <row r="62" spans="1:14" s="53" customFormat="1" ht="8.1" customHeight="1" thickBot="1" x14ac:dyDescent="0.25">
      <c r="A62" s="219"/>
      <c r="B62" s="220"/>
      <c r="C62" s="220"/>
      <c r="D62" s="220"/>
      <c r="E62" s="221"/>
      <c r="F62" s="222"/>
      <c r="G62" s="222"/>
      <c r="H62" s="222"/>
      <c r="I62" s="222"/>
      <c r="J62" s="222"/>
      <c r="K62" s="222"/>
      <c r="L62" s="222"/>
      <c r="M62" s="223"/>
      <c r="N62" s="219"/>
    </row>
    <row r="63" spans="1:14" s="53" customFormat="1" ht="12.95" customHeight="1" x14ac:dyDescent="0.2">
      <c r="B63" s="118"/>
      <c r="C63" s="118"/>
      <c r="D63" s="118"/>
      <c r="E63" s="66"/>
      <c r="F63" s="117"/>
      <c r="G63" s="117"/>
      <c r="H63" s="117"/>
      <c r="I63" s="117"/>
      <c r="J63" s="117"/>
      <c r="K63" s="117"/>
      <c r="L63" s="117"/>
      <c r="M63" s="213"/>
      <c r="N63" s="8" t="s">
        <v>101</v>
      </c>
    </row>
    <row r="64" spans="1:14" s="53" customFormat="1" ht="12.95" customHeight="1" x14ac:dyDescent="0.2">
      <c r="B64" s="118"/>
      <c r="C64" s="118"/>
      <c r="D64" s="118"/>
      <c r="E64" s="66"/>
      <c r="F64" s="117"/>
      <c r="G64" s="117"/>
      <c r="H64" s="117"/>
      <c r="I64" s="117"/>
      <c r="J64" s="117"/>
      <c r="K64" s="117"/>
      <c r="L64" s="117"/>
      <c r="M64" s="213"/>
      <c r="N64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3"/>
  <sheetViews>
    <sheetView showGridLines="0" tabSelected="1" topLeftCell="A8" zoomScaleNormal="100" zoomScaleSheetLayoutView="100" workbookViewId="0">
      <selection activeCell="J23" sqref="J23"/>
    </sheetView>
  </sheetViews>
  <sheetFormatPr defaultRowHeight="15" x14ac:dyDescent="0.25"/>
  <cols>
    <col min="1" max="1" width="1.42578125" style="2" customWidth="1"/>
    <col min="2" max="2" width="10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5" ht="9.9499999999999993" customHeight="1" x14ac:dyDescent="0.25">
      <c r="B1" s="3" t="s">
        <v>203</v>
      </c>
    </row>
    <row r="2" spans="1:15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5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5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5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5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5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5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5" s="53" customFormat="1" ht="9.9499999999999993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5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5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5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5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5" s="53" customFormat="1" ht="8.1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5" s="119" customFormat="1" ht="20.100000000000001" customHeight="1" x14ac:dyDescent="0.2">
      <c r="B15" s="127" t="s">
        <v>188</v>
      </c>
      <c r="C15" s="127"/>
      <c r="D15" s="124">
        <v>2016</v>
      </c>
      <c r="E15" s="166">
        <f>SUM(F15:M15)</f>
        <v>543</v>
      </c>
      <c r="F15" s="166">
        <f>SUM(F19,F23,F27,F31,F35,F39,F43,F47,F51,F55)</f>
        <v>10</v>
      </c>
      <c r="G15" s="166">
        <f t="shared" ref="G15:M15" si="0">SUM(G19,G23,G27,G31,G35,G39,G43,G47,G51,G55)</f>
        <v>144</v>
      </c>
      <c r="H15" s="166">
        <f t="shared" ref="H15:I15" si="1">SUM(H19,H23,H27,H31,H35,H39,H43,H47,H51,H55)</f>
        <v>1</v>
      </c>
      <c r="I15" s="166">
        <f t="shared" si="1"/>
        <v>71</v>
      </c>
      <c r="J15" s="166"/>
      <c r="K15" s="166">
        <f t="shared" ref="K15:L15" si="2">SUM(K19,K23,K27,K31,K35,K39,K43,K47,K51,K55)</f>
        <v>1</v>
      </c>
      <c r="L15" s="166">
        <f t="shared" si="2"/>
        <v>25</v>
      </c>
      <c r="M15" s="166">
        <f t="shared" si="0"/>
        <v>291</v>
      </c>
      <c r="O15" s="224"/>
    </row>
    <row r="16" spans="1:15" s="119" customFormat="1" ht="20.100000000000001" customHeight="1" x14ac:dyDescent="0.2">
      <c r="B16" s="127"/>
      <c r="C16" s="127"/>
      <c r="D16" s="124">
        <v>2017</v>
      </c>
      <c r="E16" s="166">
        <f>SUM(F16:M16)</f>
        <v>600</v>
      </c>
      <c r="F16" s="166">
        <f t="shared" ref="F16:M17" si="3">SUM(F20,F24,F28,F32,F36,F40,F44,F48,F52,F56)</f>
        <v>13</v>
      </c>
      <c r="G16" s="166">
        <f t="shared" si="3"/>
        <v>114</v>
      </c>
      <c r="H16" s="166">
        <f t="shared" ref="H16:I16" si="4">SUM(H20,H24,H28,H32,H36,H40,H44,H48,H52,H56)</f>
        <v>2</v>
      </c>
      <c r="I16" s="166">
        <f t="shared" si="4"/>
        <v>141</v>
      </c>
      <c r="J16" s="166"/>
      <c r="K16" s="143" t="s">
        <v>51</v>
      </c>
      <c r="L16" s="166">
        <f t="shared" ref="L16" si="5">SUM(L20,L24,L28,L32,L36,L40,L44,L48,L52,L56)</f>
        <v>78</v>
      </c>
      <c r="M16" s="166">
        <f t="shared" si="3"/>
        <v>252</v>
      </c>
    </row>
    <row r="17" spans="2:13" s="119" customFormat="1" ht="20.100000000000001" customHeight="1" x14ac:dyDescent="0.2">
      <c r="B17" s="127"/>
      <c r="C17" s="127"/>
      <c r="D17" s="124">
        <v>2018</v>
      </c>
      <c r="E17" s="166">
        <f>SUM(F17:M17)</f>
        <v>511</v>
      </c>
      <c r="F17" s="166">
        <f t="shared" si="3"/>
        <v>6</v>
      </c>
      <c r="G17" s="166">
        <f t="shared" si="3"/>
        <v>101</v>
      </c>
      <c r="H17" s="166">
        <f t="shared" ref="H17:I17" si="6">SUM(H21,H25,H29,H33,H37,H41,H45,H49,H53,H57)</f>
        <v>4</v>
      </c>
      <c r="I17" s="166">
        <f t="shared" si="6"/>
        <v>139</v>
      </c>
      <c r="J17" s="166"/>
      <c r="K17" s="143" t="s">
        <v>51</v>
      </c>
      <c r="L17" s="166">
        <f t="shared" ref="L17" si="7">SUM(L21,L25,L29,L33,L37,L41,L45,L49,L53,L57)</f>
        <v>71</v>
      </c>
      <c r="M17" s="166">
        <f t="shared" si="3"/>
        <v>190</v>
      </c>
    </row>
    <row r="18" spans="2:13" s="119" customFormat="1" ht="8.1" customHeight="1" x14ac:dyDescent="0.2">
      <c r="B18" s="127"/>
      <c r="C18" s="127"/>
      <c r="D18" s="124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2:13" s="119" customFormat="1" ht="20.100000000000001" customHeight="1" x14ac:dyDescent="0.2">
      <c r="B19" s="85" t="s">
        <v>11</v>
      </c>
      <c r="C19" s="85"/>
      <c r="D19" s="169">
        <v>2016</v>
      </c>
      <c r="E19" s="167">
        <f>SUM(F19:M19)</f>
        <v>85</v>
      </c>
      <c r="F19" s="167">
        <v>1</v>
      </c>
      <c r="G19" s="167">
        <v>21</v>
      </c>
      <c r="H19" s="165" t="s">
        <v>51</v>
      </c>
      <c r="I19" s="167">
        <v>8</v>
      </c>
      <c r="J19" s="167"/>
      <c r="K19" s="165" t="s">
        <v>51</v>
      </c>
      <c r="L19" s="167">
        <v>1</v>
      </c>
      <c r="M19" s="167">
        <v>54</v>
      </c>
    </row>
    <row r="20" spans="2:13" s="119" customFormat="1" ht="20.100000000000001" customHeight="1" x14ac:dyDescent="0.2">
      <c r="B20" s="85"/>
      <c r="C20" s="85"/>
      <c r="D20" s="169">
        <v>2017</v>
      </c>
      <c r="E20" s="167">
        <f>SUM(F20:M20)</f>
        <v>56</v>
      </c>
      <c r="F20" s="167" t="s">
        <v>51</v>
      </c>
      <c r="G20" s="167">
        <v>16</v>
      </c>
      <c r="H20" s="165" t="s">
        <v>51</v>
      </c>
      <c r="I20" s="167">
        <v>4</v>
      </c>
      <c r="J20" s="167"/>
      <c r="K20" s="165" t="s">
        <v>51</v>
      </c>
      <c r="L20" s="167">
        <v>3</v>
      </c>
      <c r="M20" s="167">
        <v>33</v>
      </c>
    </row>
    <row r="21" spans="2:13" s="119" customFormat="1" ht="20.100000000000001" customHeight="1" x14ac:dyDescent="0.2">
      <c r="B21" s="85"/>
      <c r="C21" s="85"/>
      <c r="D21" s="169">
        <v>2018</v>
      </c>
      <c r="E21" s="167">
        <f>SUM(F21:M21)</f>
        <v>41</v>
      </c>
      <c r="F21" s="167" t="s">
        <v>51</v>
      </c>
      <c r="G21" s="167">
        <v>11</v>
      </c>
      <c r="H21" s="165" t="s">
        <v>51</v>
      </c>
      <c r="I21" s="167">
        <v>7</v>
      </c>
      <c r="J21" s="167"/>
      <c r="K21" s="165" t="s">
        <v>51</v>
      </c>
      <c r="L21" s="167">
        <v>3</v>
      </c>
      <c r="M21" s="167">
        <v>20</v>
      </c>
    </row>
    <row r="22" spans="2:13" s="119" customFormat="1" ht="8.1" customHeight="1" x14ac:dyDescent="0.2">
      <c r="B22" s="85"/>
      <c r="C22" s="85"/>
      <c r="D22" s="169"/>
      <c r="E22" s="167"/>
      <c r="F22" s="165"/>
      <c r="G22" s="167"/>
      <c r="H22" s="167"/>
      <c r="I22" s="167"/>
      <c r="J22" s="167"/>
      <c r="K22" s="167"/>
      <c r="L22" s="167"/>
      <c r="M22" s="167"/>
    </row>
    <row r="23" spans="2:13" s="119" customFormat="1" ht="20.100000000000001" customHeight="1" x14ac:dyDescent="0.2">
      <c r="B23" s="85" t="s">
        <v>18</v>
      </c>
      <c r="C23" s="85"/>
      <c r="D23" s="169">
        <v>2016</v>
      </c>
      <c r="E23" s="167">
        <f>SUM(F23:M23)</f>
        <v>41</v>
      </c>
      <c r="F23" s="161">
        <v>3</v>
      </c>
      <c r="G23" s="162">
        <v>8</v>
      </c>
      <c r="H23" s="161" t="s">
        <v>51</v>
      </c>
      <c r="I23" s="162">
        <v>3</v>
      </c>
      <c r="J23" s="162"/>
      <c r="K23" s="161" t="s">
        <v>51</v>
      </c>
      <c r="L23" s="161" t="s">
        <v>51</v>
      </c>
      <c r="M23" s="162">
        <v>27</v>
      </c>
    </row>
    <row r="24" spans="2:13" s="119" customFormat="1" ht="20.100000000000001" customHeight="1" x14ac:dyDescent="0.2">
      <c r="B24" s="85"/>
      <c r="C24" s="85"/>
      <c r="D24" s="169">
        <v>2017</v>
      </c>
      <c r="E24" s="167">
        <f>SUM(F24:M24)</f>
        <v>34</v>
      </c>
      <c r="F24" s="161">
        <v>2</v>
      </c>
      <c r="G24" s="162">
        <v>7</v>
      </c>
      <c r="H24" s="161" t="s">
        <v>51</v>
      </c>
      <c r="I24" s="162">
        <v>6</v>
      </c>
      <c r="J24" s="162"/>
      <c r="K24" s="161" t="s">
        <v>51</v>
      </c>
      <c r="L24" s="162">
        <v>2</v>
      </c>
      <c r="M24" s="162">
        <v>17</v>
      </c>
    </row>
    <row r="25" spans="2:13" s="119" customFormat="1" ht="20.100000000000001" customHeight="1" x14ac:dyDescent="0.2">
      <c r="B25" s="85"/>
      <c r="C25" s="85"/>
      <c r="D25" s="169">
        <v>2018</v>
      </c>
      <c r="E25" s="167">
        <f>SUM(F25:M25)</f>
        <v>26</v>
      </c>
      <c r="F25" s="167" t="s">
        <v>51</v>
      </c>
      <c r="G25" s="162">
        <v>6</v>
      </c>
      <c r="H25" s="162">
        <v>1</v>
      </c>
      <c r="I25" s="162">
        <v>5</v>
      </c>
      <c r="J25" s="162"/>
      <c r="K25" s="161" t="s">
        <v>51</v>
      </c>
      <c r="L25" s="162">
        <v>3</v>
      </c>
      <c r="M25" s="162">
        <v>11</v>
      </c>
    </row>
    <row r="26" spans="2:13" s="119" customFormat="1" ht="8.1" customHeight="1" x14ac:dyDescent="0.2">
      <c r="B26" s="85"/>
      <c r="C26" s="85"/>
      <c r="D26" s="169"/>
      <c r="E26" s="167"/>
      <c r="F26" s="161"/>
      <c r="G26" s="162"/>
      <c r="H26" s="162"/>
      <c r="I26" s="162"/>
      <c r="J26" s="162"/>
      <c r="K26" s="162"/>
      <c r="L26" s="162"/>
      <c r="M26" s="162"/>
    </row>
    <row r="27" spans="2:13" s="119" customFormat="1" ht="20.100000000000001" customHeight="1" x14ac:dyDescent="0.2">
      <c r="B27" s="85" t="s">
        <v>20</v>
      </c>
      <c r="C27" s="85"/>
      <c r="D27" s="169">
        <v>2016</v>
      </c>
      <c r="E27" s="167">
        <f>SUM(F27:M27)</f>
        <v>8</v>
      </c>
      <c r="F27" s="167" t="s">
        <v>51</v>
      </c>
      <c r="G27" s="167">
        <v>5</v>
      </c>
      <c r="H27" s="165" t="s">
        <v>51</v>
      </c>
      <c r="I27" s="167">
        <v>1</v>
      </c>
      <c r="J27" s="167"/>
      <c r="K27" s="165" t="s">
        <v>51</v>
      </c>
      <c r="L27" s="165" t="s">
        <v>51</v>
      </c>
      <c r="M27" s="167">
        <v>2</v>
      </c>
    </row>
    <row r="28" spans="2:13" s="119" customFormat="1" ht="20.100000000000001" customHeight="1" x14ac:dyDescent="0.2">
      <c r="B28" s="85"/>
      <c r="C28" s="85"/>
      <c r="D28" s="169">
        <v>2017</v>
      </c>
      <c r="E28" s="167">
        <f>SUM(F28:M28)</f>
        <v>6</v>
      </c>
      <c r="F28" s="167" t="s">
        <v>51</v>
      </c>
      <c r="G28" s="167">
        <v>4</v>
      </c>
      <c r="H28" s="165" t="s">
        <v>51</v>
      </c>
      <c r="I28" s="167">
        <v>1</v>
      </c>
      <c r="J28" s="167"/>
      <c r="K28" s="165" t="s">
        <v>51</v>
      </c>
      <c r="L28" s="165" t="s">
        <v>51</v>
      </c>
      <c r="M28" s="167">
        <v>1</v>
      </c>
    </row>
    <row r="29" spans="2:13" s="119" customFormat="1" ht="20.100000000000001" customHeight="1" x14ac:dyDescent="0.2">
      <c r="B29" s="85"/>
      <c r="C29" s="85"/>
      <c r="D29" s="169">
        <v>2018</v>
      </c>
      <c r="E29" s="167">
        <f>SUM(F29:M29)</f>
        <v>9</v>
      </c>
      <c r="F29" s="167" t="s">
        <v>51</v>
      </c>
      <c r="G29" s="167">
        <v>4</v>
      </c>
      <c r="H29" s="165" t="s">
        <v>51</v>
      </c>
      <c r="I29" s="165">
        <v>1</v>
      </c>
      <c r="J29" s="165"/>
      <c r="K29" s="165" t="s">
        <v>51</v>
      </c>
      <c r="L29" s="165">
        <v>1</v>
      </c>
      <c r="M29" s="167">
        <v>3</v>
      </c>
    </row>
    <row r="30" spans="2:13" s="119" customFormat="1" ht="12.95" customHeight="1" x14ac:dyDescent="0.2">
      <c r="B30" s="85"/>
      <c r="C30" s="85"/>
      <c r="D30" s="169"/>
      <c r="E30" s="167"/>
      <c r="F30" s="165"/>
      <c r="G30" s="167"/>
      <c r="H30" s="165"/>
      <c r="I30" s="165"/>
      <c r="J30" s="165"/>
      <c r="K30" s="165"/>
      <c r="L30" s="165"/>
      <c r="M30" s="167"/>
    </row>
    <row r="31" spans="2:13" s="119" customFormat="1" ht="20.100000000000001" customHeight="1" x14ac:dyDescent="0.2">
      <c r="B31" s="85" t="s">
        <v>12</v>
      </c>
      <c r="C31" s="85"/>
      <c r="D31" s="169">
        <v>2016</v>
      </c>
      <c r="E31" s="167">
        <f>SUM(F31:M31)</f>
        <v>127</v>
      </c>
      <c r="F31" s="161" t="s">
        <v>51</v>
      </c>
      <c r="G31" s="162">
        <v>35</v>
      </c>
      <c r="H31" s="162">
        <v>1</v>
      </c>
      <c r="I31" s="162">
        <v>22</v>
      </c>
      <c r="J31" s="162"/>
      <c r="K31" s="162">
        <v>1</v>
      </c>
      <c r="L31" s="162">
        <v>10</v>
      </c>
      <c r="M31" s="162">
        <v>58</v>
      </c>
    </row>
    <row r="32" spans="2:13" s="119" customFormat="1" ht="20.100000000000001" customHeight="1" x14ac:dyDescent="0.2">
      <c r="B32" s="85"/>
      <c r="C32" s="85"/>
      <c r="D32" s="169">
        <v>2017</v>
      </c>
      <c r="E32" s="167">
        <f>SUM(F32:M32)</f>
        <v>188</v>
      </c>
      <c r="F32" s="161">
        <v>3</v>
      </c>
      <c r="G32" s="162">
        <v>28</v>
      </c>
      <c r="H32" s="162">
        <v>2</v>
      </c>
      <c r="I32" s="162">
        <v>63</v>
      </c>
      <c r="J32" s="162"/>
      <c r="K32" s="161" t="s">
        <v>51</v>
      </c>
      <c r="L32" s="162">
        <v>36</v>
      </c>
      <c r="M32" s="162">
        <v>56</v>
      </c>
    </row>
    <row r="33" spans="2:13" s="119" customFormat="1" ht="20.100000000000001" customHeight="1" x14ac:dyDescent="0.2">
      <c r="B33" s="85"/>
      <c r="C33" s="85"/>
      <c r="D33" s="169">
        <v>2018</v>
      </c>
      <c r="E33" s="167">
        <f>SUM(F33:M33)</f>
        <v>168</v>
      </c>
      <c r="F33" s="161">
        <v>2</v>
      </c>
      <c r="G33" s="162">
        <v>25</v>
      </c>
      <c r="H33" s="162">
        <v>2</v>
      </c>
      <c r="I33" s="162">
        <v>61</v>
      </c>
      <c r="J33" s="162"/>
      <c r="K33" s="161" t="s">
        <v>51</v>
      </c>
      <c r="L33" s="162">
        <v>37</v>
      </c>
      <c r="M33" s="162">
        <v>41</v>
      </c>
    </row>
    <row r="34" spans="2:13" s="119" customFormat="1" ht="12.95" customHeight="1" x14ac:dyDescent="0.2">
      <c r="B34" s="85"/>
      <c r="C34" s="85"/>
      <c r="D34" s="169"/>
      <c r="E34" s="167"/>
      <c r="F34" s="161"/>
      <c r="G34" s="162"/>
      <c r="H34" s="162"/>
      <c r="I34" s="162"/>
      <c r="J34" s="162"/>
      <c r="K34" s="162"/>
      <c r="L34" s="162"/>
      <c r="M34" s="162"/>
    </row>
    <row r="35" spans="2:13" s="119" customFormat="1" ht="20.100000000000001" customHeight="1" x14ac:dyDescent="0.2">
      <c r="B35" s="85" t="s">
        <v>19</v>
      </c>
      <c r="C35" s="85"/>
      <c r="D35" s="169">
        <v>2016</v>
      </c>
      <c r="E35" s="167">
        <f>SUM(F35:M35)</f>
        <v>47</v>
      </c>
      <c r="F35" s="167">
        <v>1</v>
      </c>
      <c r="G35" s="167">
        <v>15</v>
      </c>
      <c r="H35" s="165" t="s">
        <v>51</v>
      </c>
      <c r="I35" s="167">
        <v>5</v>
      </c>
      <c r="J35" s="167"/>
      <c r="K35" s="165" t="s">
        <v>51</v>
      </c>
      <c r="L35" s="167">
        <v>2</v>
      </c>
      <c r="M35" s="167">
        <v>24</v>
      </c>
    </row>
    <row r="36" spans="2:13" s="119" customFormat="1" ht="20.100000000000001" customHeight="1" x14ac:dyDescent="0.2">
      <c r="B36" s="85"/>
      <c r="C36" s="85"/>
      <c r="D36" s="169">
        <v>2017</v>
      </c>
      <c r="E36" s="167">
        <f>SUM(F36:M36)</f>
        <v>44</v>
      </c>
      <c r="F36" s="167">
        <v>1</v>
      </c>
      <c r="G36" s="167">
        <v>6</v>
      </c>
      <c r="H36" s="165" t="s">
        <v>51</v>
      </c>
      <c r="I36" s="167">
        <v>8</v>
      </c>
      <c r="J36" s="167"/>
      <c r="K36" s="165" t="s">
        <v>51</v>
      </c>
      <c r="L36" s="167">
        <v>3</v>
      </c>
      <c r="M36" s="167">
        <v>26</v>
      </c>
    </row>
    <row r="37" spans="2:13" s="119" customFormat="1" ht="20.100000000000001" customHeight="1" x14ac:dyDescent="0.2">
      <c r="B37" s="85"/>
      <c r="C37" s="85"/>
      <c r="D37" s="169">
        <v>2018</v>
      </c>
      <c r="E37" s="167">
        <f>SUM(F37:M37)</f>
        <v>27</v>
      </c>
      <c r="F37" s="167" t="s">
        <v>51</v>
      </c>
      <c r="G37" s="167">
        <v>5</v>
      </c>
      <c r="H37" s="165" t="s">
        <v>51</v>
      </c>
      <c r="I37" s="167">
        <v>5</v>
      </c>
      <c r="J37" s="167"/>
      <c r="K37" s="165" t="s">
        <v>51</v>
      </c>
      <c r="L37" s="167">
        <v>2</v>
      </c>
      <c r="M37" s="167">
        <v>15</v>
      </c>
    </row>
    <row r="38" spans="2:13" s="119" customFormat="1" ht="12.95" customHeight="1" x14ac:dyDescent="0.2">
      <c r="B38" s="85"/>
      <c r="C38" s="85"/>
      <c r="D38" s="169"/>
      <c r="E38" s="167"/>
      <c r="F38" s="167"/>
      <c r="G38" s="167"/>
      <c r="H38" s="167"/>
      <c r="I38" s="167"/>
      <c r="J38" s="167"/>
      <c r="K38" s="167"/>
      <c r="L38" s="167"/>
      <c r="M38" s="167"/>
    </row>
    <row r="39" spans="2:13" s="119" customFormat="1" ht="20.100000000000001" customHeight="1" x14ac:dyDescent="0.2">
      <c r="B39" s="85" t="s">
        <v>13</v>
      </c>
      <c r="C39" s="85"/>
      <c r="D39" s="169">
        <v>2016</v>
      </c>
      <c r="E39" s="167">
        <f>SUM(F39:M39)</f>
        <v>22</v>
      </c>
      <c r="F39" s="161" t="s">
        <v>51</v>
      </c>
      <c r="G39" s="162">
        <v>7</v>
      </c>
      <c r="H39" s="161" t="s">
        <v>51</v>
      </c>
      <c r="I39" s="162">
        <v>1</v>
      </c>
      <c r="J39" s="162"/>
      <c r="K39" s="161" t="s">
        <v>51</v>
      </c>
      <c r="L39" s="162">
        <v>3</v>
      </c>
      <c r="M39" s="162">
        <v>11</v>
      </c>
    </row>
    <row r="40" spans="2:13" s="119" customFormat="1" ht="20.100000000000001" customHeight="1" x14ac:dyDescent="0.2">
      <c r="B40" s="85"/>
      <c r="C40" s="85"/>
      <c r="D40" s="169">
        <v>2017</v>
      </c>
      <c r="E40" s="167">
        <f>SUM(F40:M40)</f>
        <v>38</v>
      </c>
      <c r="F40" s="161">
        <v>1</v>
      </c>
      <c r="G40" s="162">
        <v>5</v>
      </c>
      <c r="H40" s="161" t="s">
        <v>51</v>
      </c>
      <c r="I40" s="162">
        <v>9</v>
      </c>
      <c r="J40" s="162"/>
      <c r="K40" s="161" t="s">
        <v>51</v>
      </c>
      <c r="L40" s="162">
        <v>6</v>
      </c>
      <c r="M40" s="162">
        <v>17</v>
      </c>
    </row>
    <row r="41" spans="2:13" s="119" customFormat="1" ht="20.100000000000001" customHeight="1" x14ac:dyDescent="0.2">
      <c r="B41" s="85"/>
      <c r="C41" s="85"/>
      <c r="D41" s="169">
        <v>2018</v>
      </c>
      <c r="E41" s="167">
        <f>SUM(F41:M41)</f>
        <v>29</v>
      </c>
      <c r="F41" s="167" t="s">
        <v>51</v>
      </c>
      <c r="G41" s="162">
        <v>5</v>
      </c>
      <c r="H41" s="161" t="s">
        <v>51</v>
      </c>
      <c r="I41" s="162">
        <v>8</v>
      </c>
      <c r="J41" s="162"/>
      <c r="K41" s="161" t="s">
        <v>51</v>
      </c>
      <c r="L41" s="162">
        <v>2</v>
      </c>
      <c r="M41" s="162">
        <v>14</v>
      </c>
    </row>
    <row r="42" spans="2:13" s="119" customFormat="1" ht="12.95" customHeight="1" x14ac:dyDescent="0.2">
      <c r="B42" s="85"/>
      <c r="C42" s="85"/>
      <c r="D42" s="169"/>
      <c r="E42" s="167"/>
      <c r="F42" s="161"/>
      <c r="G42" s="162"/>
      <c r="H42" s="162"/>
      <c r="I42" s="162"/>
      <c r="J42" s="162"/>
      <c r="K42" s="162"/>
      <c r="L42" s="162"/>
      <c r="M42" s="162"/>
    </row>
    <row r="43" spans="2:13" s="119" customFormat="1" ht="20.100000000000001" customHeight="1" x14ac:dyDescent="0.2">
      <c r="B43" s="85" t="s">
        <v>14</v>
      </c>
      <c r="C43" s="85"/>
      <c r="D43" s="169">
        <v>2016</v>
      </c>
      <c r="E43" s="167">
        <f>SUM(F43:M43)</f>
        <v>65</v>
      </c>
      <c r="F43" s="167">
        <v>3</v>
      </c>
      <c r="G43" s="167">
        <v>21</v>
      </c>
      <c r="H43" s="165" t="s">
        <v>51</v>
      </c>
      <c r="I43" s="167">
        <v>4</v>
      </c>
      <c r="J43" s="167"/>
      <c r="K43" s="165" t="s">
        <v>51</v>
      </c>
      <c r="L43" s="167">
        <v>5</v>
      </c>
      <c r="M43" s="167">
        <v>32</v>
      </c>
    </row>
    <row r="44" spans="2:13" s="119" customFormat="1" ht="20.100000000000001" customHeight="1" x14ac:dyDescent="0.2">
      <c r="B44" s="85"/>
      <c r="C44" s="85"/>
      <c r="D44" s="169">
        <v>2017</v>
      </c>
      <c r="E44" s="167">
        <f>SUM(F44:M44)</f>
        <v>56</v>
      </c>
      <c r="F44" s="167">
        <v>1</v>
      </c>
      <c r="G44" s="167">
        <v>12</v>
      </c>
      <c r="H44" s="165" t="s">
        <v>51</v>
      </c>
      <c r="I44" s="167">
        <v>11</v>
      </c>
      <c r="J44" s="167"/>
      <c r="K44" s="165" t="s">
        <v>51</v>
      </c>
      <c r="L44" s="167">
        <v>7</v>
      </c>
      <c r="M44" s="167">
        <v>25</v>
      </c>
    </row>
    <row r="45" spans="2:13" s="119" customFormat="1" ht="20.100000000000001" customHeight="1" x14ac:dyDescent="0.2">
      <c r="B45" s="85"/>
      <c r="C45" s="85"/>
      <c r="D45" s="169">
        <v>2018</v>
      </c>
      <c r="E45" s="167">
        <f>SUM(F45:M45)</f>
        <v>51</v>
      </c>
      <c r="F45" s="167">
        <v>2</v>
      </c>
      <c r="G45" s="167">
        <v>11</v>
      </c>
      <c r="H45" s="167">
        <v>1</v>
      </c>
      <c r="I45" s="167">
        <v>16</v>
      </c>
      <c r="J45" s="167"/>
      <c r="K45" s="165" t="s">
        <v>51</v>
      </c>
      <c r="L45" s="167">
        <v>6</v>
      </c>
      <c r="M45" s="167">
        <v>15</v>
      </c>
    </row>
    <row r="46" spans="2:13" s="119" customFormat="1" ht="12.95" customHeight="1" x14ac:dyDescent="0.2">
      <c r="B46" s="85"/>
      <c r="C46" s="85"/>
      <c r="D46" s="169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2:13" s="119" customFormat="1" ht="20.100000000000001" customHeight="1" x14ac:dyDescent="0.2">
      <c r="B47" s="85" t="s">
        <v>15</v>
      </c>
      <c r="C47" s="85"/>
      <c r="D47" s="169">
        <v>2016</v>
      </c>
      <c r="E47" s="167">
        <f>SUM(F47:M47)</f>
        <v>65</v>
      </c>
      <c r="F47" s="161" t="s">
        <v>51</v>
      </c>
      <c r="G47" s="162">
        <v>12</v>
      </c>
      <c r="H47" s="161" t="s">
        <v>51</v>
      </c>
      <c r="I47" s="162">
        <v>15</v>
      </c>
      <c r="J47" s="162"/>
      <c r="K47" s="161" t="s">
        <v>51</v>
      </c>
      <c r="L47" s="162">
        <v>2</v>
      </c>
      <c r="M47" s="162">
        <v>36</v>
      </c>
    </row>
    <row r="48" spans="2:13" s="119" customFormat="1" ht="20.100000000000001" customHeight="1" x14ac:dyDescent="0.2">
      <c r="B48" s="85"/>
      <c r="C48" s="85"/>
      <c r="D48" s="169">
        <v>2017</v>
      </c>
      <c r="E48" s="167">
        <f>SUM(F48:M48)</f>
        <v>61</v>
      </c>
      <c r="F48" s="161">
        <v>1</v>
      </c>
      <c r="G48" s="162">
        <v>8</v>
      </c>
      <c r="H48" s="161" t="s">
        <v>51</v>
      </c>
      <c r="I48" s="162">
        <v>18</v>
      </c>
      <c r="J48" s="162"/>
      <c r="K48" s="161" t="s">
        <v>51</v>
      </c>
      <c r="L48" s="162">
        <v>4</v>
      </c>
      <c r="M48" s="162">
        <v>30</v>
      </c>
    </row>
    <row r="49" spans="1:14" s="119" customFormat="1" ht="20.100000000000001" customHeight="1" x14ac:dyDescent="0.2">
      <c r="B49" s="85"/>
      <c r="C49" s="85"/>
      <c r="D49" s="169">
        <v>2018</v>
      </c>
      <c r="E49" s="167">
        <f>SUM(F49:M49)</f>
        <v>48</v>
      </c>
      <c r="F49" s="161">
        <v>2</v>
      </c>
      <c r="G49" s="162">
        <v>12</v>
      </c>
      <c r="H49" s="161" t="s">
        <v>51</v>
      </c>
      <c r="I49" s="162">
        <v>10</v>
      </c>
      <c r="J49" s="162"/>
      <c r="K49" s="161" t="s">
        <v>51</v>
      </c>
      <c r="L49" s="162">
        <v>1</v>
      </c>
      <c r="M49" s="162">
        <v>23</v>
      </c>
    </row>
    <row r="50" spans="1:14" s="119" customFormat="1" ht="12.95" customHeight="1" x14ac:dyDescent="0.2">
      <c r="B50" s="85"/>
      <c r="C50" s="85"/>
      <c r="D50" s="169"/>
      <c r="E50" s="167"/>
      <c r="F50" s="161"/>
      <c r="G50" s="162"/>
      <c r="H50" s="162"/>
      <c r="I50" s="162"/>
      <c r="J50" s="162"/>
      <c r="K50" s="162"/>
      <c r="L50" s="162"/>
      <c r="M50" s="162"/>
    </row>
    <row r="51" spans="1:14" s="119" customFormat="1" ht="20.100000000000001" customHeight="1" x14ac:dyDescent="0.2">
      <c r="B51" s="85" t="s">
        <v>16</v>
      </c>
      <c r="C51" s="85"/>
      <c r="D51" s="169">
        <v>2016</v>
      </c>
      <c r="E51" s="167">
        <f>SUM(F51:M51)</f>
        <v>34</v>
      </c>
      <c r="F51" s="167">
        <v>1</v>
      </c>
      <c r="G51" s="167">
        <v>10</v>
      </c>
      <c r="H51" s="165" t="s">
        <v>51</v>
      </c>
      <c r="I51" s="167">
        <v>1</v>
      </c>
      <c r="J51" s="167"/>
      <c r="K51" s="165" t="s">
        <v>51</v>
      </c>
      <c r="L51" s="165" t="s">
        <v>51</v>
      </c>
      <c r="M51" s="167">
        <v>22</v>
      </c>
    </row>
    <row r="52" spans="1:14" s="119" customFormat="1" ht="20.100000000000001" customHeight="1" x14ac:dyDescent="0.2">
      <c r="B52" s="85"/>
      <c r="C52" s="85"/>
      <c r="D52" s="169">
        <v>2017</v>
      </c>
      <c r="E52" s="167">
        <f>SUM(F52:M52)</f>
        <v>55</v>
      </c>
      <c r="F52" s="167">
        <v>1</v>
      </c>
      <c r="G52" s="167">
        <v>16</v>
      </c>
      <c r="H52" s="165" t="s">
        <v>51</v>
      </c>
      <c r="I52" s="167">
        <v>4</v>
      </c>
      <c r="J52" s="167"/>
      <c r="K52" s="165" t="s">
        <v>51</v>
      </c>
      <c r="L52" s="167">
        <v>6</v>
      </c>
      <c r="M52" s="167">
        <v>28</v>
      </c>
    </row>
    <row r="53" spans="1:14" s="119" customFormat="1" ht="20.100000000000001" customHeight="1" x14ac:dyDescent="0.2">
      <c r="B53" s="85"/>
      <c r="C53" s="85"/>
      <c r="D53" s="169">
        <v>2018</v>
      </c>
      <c r="E53" s="167">
        <f>SUM(F53:M53)</f>
        <v>51</v>
      </c>
      <c r="F53" s="167" t="s">
        <v>51</v>
      </c>
      <c r="G53" s="167">
        <v>13</v>
      </c>
      <c r="H53" s="165" t="s">
        <v>51</v>
      </c>
      <c r="I53" s="167">
        <v>8</v>
      </c>
      <c r="J53" s="167"/>
      <c r="K53" s="165" t="s">
        <v>51</v>
      </c>
      <c r="L53" s="167">
        <v>5</v>
      </c>
      <c r="M53" s="167">
        <v>25</v>
      </c>
    </row>
    <row r="54" spans="1:14" s="119" customFormat="1" ht="12.95" customHeight="1" x14ac:dyDescent="0.2">
      <c r="B54" s="85"/>
      <c r="C54" s="85"/>
      <c r="D54" s="169"/>
      <c r="E54" s="167"/>
      <c r="F54" s="167"/>
      <c r="G54" s="167"/>
      <c r="H54" s="167"/>
      <c r="I54" s="167"/>
      <c r="J54" s="167"/>
      <c r="K54" s="167"/>
      <c r="L54" s="167"/>
      <c r="M54" s="167"/>
    </row>
    <row r="55" spans="1:14" s="53" customFormat="1" ht="20.100000000000001" customHeight="1" x14ac:dyDescent="0.2">
      <c r="B55" s="85" t="s">
        <v>17</v>
      </c>
      <c r="C55" s="85"/>
      <c r="D55" s="169">
        <v>2016</v>
      </c>
      <c r="E55" s="167">
        <f>SUM(F55:M55)</f>
        <v>49</v>
      </c>
      <c r="F55" s="162">
        <v>1</v>
      </c>
      <c r="G55" s="162">
        <v>10</v>
      </c>
      <c r="H55" s="161" t="s">
        <v>51</v>
      </c>
      <c r="I55" s="162">
        <v>11</v>
      </c>
      <c r="J55" s="162"/>
      <c r="K55" s="161" t="s">
        <v>51</v>
      </c>
      <c r="L55" s="162">
        <v>2</v>
      </c>
      <c r="M55" s="162">
        <v>25</v>
      </c>
    </row>
    <row r="56" spans="1:14" s="53" customFormat="1" ht="20.100000000000001" customHeight="1" x14ac:dyDescent="0.2">
      <c r="B56" s="85"/>
      <c r="C56" s="85"/>
      <c r="D56" s="169">
        <v>2017</v>
      </c>
      <c r="E56" s="167">
        <f>SUM(F56:M56)</f>
        <v>62</v>
      </c>
      <c r="F56" s="161">
        <v>3</v>
      </c>
      <c r="G56" s="162">
        <v>12</v>
      </c>
      <c r="H56" s="161" t="s">
        <v>51</v>
      </c>
      <c r="I56" s="162">
        <v>17</v>
      </c>
      <c r="J56" s="162"/>
      <c r="K56" s="161" t="s">
        <v>51</v>
      </c>
      <c r="L56" s="162">
        <v>11</v>
      </c>
      <c r="M56" s="162">
        <v>19</v>
      </c>
    </row>
    <row r="57" spans="1:14" s="53" customFormat="1" ht="20.100000000000001" customHeight="1" x14ac:dyDescent="0.2">
      <c r="B57" s="85"/>
      <c r="C57" s="85"/>
      <c r="D57" s="169">
        <v>2018</v>
      </c>
      <c r="E57" s="167">
        <f>SUM(F57:M57)</f>
        <v>61</v>
      </c>
      <c r="F57" s="167" t="s">
        <v>51</v>
      </c>
      <c r="G57" s="162">
        <v>9</v>
      </c>
      <c r="H57" s="161" t="s">
        <v>51</v>
      </c>
      <c r="I57" s="162">
        <v>18</v>
      </c>
      <c r="J57" s="162"/>
      <c r="K57" s="161" t="s">
        <v>51</v>
      </c>
      <c r="L57" s="162">
        <v>11</v>
      </c>
      <c r="M57" s="162">
        <v>23</v>
      </c>
    </row>
    <row r="58" spans="1:14" s="53" customFormat="1" ht="8.1" customHeight="1" thickBot="1" x14ac:dyDescent="0.25">
      <c r="A58" s="219"/>
      <c r="B58" s="220"/>
      <c r="C58" s="220"/>
      <c r="D58" s="220"/>
      <c r="E58" s="221"/>
      <c r="F58" s="222"/>
      <c r="G58" s="222"/>
      <c r="H58" s="222"/>
      <c r="I58" s="222"/>
      <c r="J58" s="222"/>
      <c r="K58" s="222"/>
      <c r="L58" s="222"/>
      <c r="M58" s="223"/>
      <c r="N58" s="219"/>
    </row>
    <row r="59" spans="1:14" s="53" customFormat="1" ht="12.95" customHeight="1" x14ac:dyDescent="0.2">
      <c r="B59" s="118"/>
      <c r="C59" s="118"/>
      <c r="D59" s="118"/>
      <c r="E59" s="66"/>
      <c r="F59" s="117"/>
      <c r="G59" s="117"/>
      <c r="H59" s="117"/>
      <c r="I59" s="117"/>
      <c r="J59" s="117"/>
      <c r="K59" s="117"/>
      <c r="L59" s="117"/>
      <c r="M59" s="213"/>
      <c r="N59" s="8" t="s">
        <v>101</v>
      </c>
    </row>
    <row r="60" spans="1:14" s="53" customFormat="1" ht="12.95" customHeight="1" x14ac:dyDescent="0.2">
      <c r="B60" s="118"/>
      <c r="C60" s="118"/>
      <c r="D60" s="118"/>
      <c r="E60" s="66"/>
      <c r="F60" s="117"/>
      <c r="G60" s="117"/>
      <c r="H60" s="117"/>
      <c r="I60" s="117"/>
      <c r="J60" s="117"/>
      <c r="K60" s="117"/>
      <c r="L60" s="117"/>
      <c r="M60" s="213"/>
      <c r="N60" s="41" t="s">
        <v>1</v>
      </c>
    </row>
    <row r="61" spans="1:14" ht="12.95" customHeight="1" x14ac:dyDescent="0.25"/>
    <row r="63" spans="1:14" ht="8.1" customHeight="1" x14ac:dyDescent="0.25"/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9"/>
  <sheetViews>
    <sheetView showGridLines="0" tabSelected="1" topLeftCell="A6" zoomScaleNormal="100" zoomScaleSheetLayoutView="100" workbookViewId="0">
      <selection activeCell="J23" sqref="J23"/>
    </sheetView>
  </sheetViews>
  <sheetFormatPr defaultRowHeight="15" x14ac:dyDescent="0.25"/>
  <cols>
    <col min="1" max="1" width="2" style="2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21" ht="9.9499999999999993" customHeight="1" x14ac:dyDescent="0.25">
      <c r="B1" s="3" t="s">
        <v>203</v>
      </c>
    </row>
    <row r="2" spans="1:21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21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21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21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21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21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21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21" s="53" customFormat="1" ht="9.9499999999999993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21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21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21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21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21" s="53" customFormat="1" ht="8.1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21" s="53" customFormat="1" ht="15.95" customHeight="1" x14ac:dyDescent="0.2">
      <c r="B15" s="127" t="s">
        <v>189</v>
      </c>
      <c r="C15" s="127"/>
      <c r="D15" s="227">
        <v>2016</v>
      </c>
      <c r="E15" s="166">
        <f>SUM(F15:M15)</f>
        <v>1154</v>
      </c>
      <c r="F15" s="166">
        <f>SUM(F19,F23,F27)</f>
        <v>13</v>
      </c>
      <c r="G15" s="166">
        <f t="shared" ref="G15:M15" si="0">SUM(G19,G23,G27)</f>
        <v>60</v>
      </c>
      <c r="H15" s="166">
        <f t="shared" ref="H15:I15" si="1">SUM(H19,H23,H27)</f>
        <v>2</v>
      </c>
      <c r="I15" s="166">
        <f t="shared" si="1"/>
        <v>610</v>
      </c>
      <c r="J15" s="166"/>
      <c r="K15" s="143" t="s">
        <v>51</v>
      </c>
      <c r="L15" s="166">
        <f t="shared" ref="L15" si="2">SUM(L19,L23,L27)</f>
        <v>276</v>
      </c>
      <c r="M15" s="166">
        <f t="shared" si="0"/>
        <v>193</v>
      </c>
      <c r="O15" s="225"/>
    </row>
    <row r="16" spans="1:21" s="119" customFormat="1" ht="15.95" customHeight="1" x14ac:dyDescent="0.2">
      <c r="B16" s="127"/>
      <c r="C16" s="127"/>
      <c r="D16" s="227">
        <v>2017</v>
      </c>
      <c r="E16" s="166">
        <f>SUM(F16:M16)</f>
        <v>842</v>
      </c>
      <c r="F16" s="166">
        <f t="shared" ref="F16:M17" si="3">SUM(F20,F24,F28)</f>
        <v>7</v>
      </c>
      <c r="G16" s="166">
        <f t="shared" si="3"/>
        <v>69</v>
      </c>
      <c r="H16" s="166">
        <f t="shared" ref="H16:I16" si="4">SUM(H20,H24,H28)</f>
        <v>1</v>
      </c>
      <c r="I16" s="166">
        <f t="shared" si="4"/>
        <v>349</v>
      </c>
      <c r="J16" s="166"/>
      <c r="K16" s="143" t="s">
        <v>51</v>
      </c>
      <c r="L16" s="166">
        <f t="shared" ref="L16" si="5">SUM(L20,L24,L28)</f>
        <v>240</v>
      </c>
      <c r="M16" s="166">
        <f t="shared" si="3"/>
        <v>176</v>
      </c>
      <c r="U16" s="53"/>
    </row>
    <row r="17" spans="1:21" s="119" customFormat="1" ht="15.95" customHeight="1" x14ac:dyDescent="0.2">
      <c r="B17" s="127"/>
      <c r="C17" s="127"/>
      <c r="D17" s="227">
        <v>2018</v>
      </c>
      <c r="E17" s="166">
        <f>F17+G17+H17+M17</f>
        <v>263</v>
      </c>
      <c r="F17" s="166">
        <f t="shared" si="3"/>
        <v>13</v>
      </c>
      <c r="G17" s="166">
        <f t="shared" si="3"/>
        <v>51</v>
      </c>
      <c r="H17" s="166">
        <f t="shared" ref="H17:I17" si="6">SUM(H21,H25,H29)</f>
        <v>1</v>
      </c>
      <c r="I17" s="166">
        <f t="shared" si="6"/>
        <v>175</v>
      </c>
      <c r="J17" s="166"/>
      <c r="K17" s="143" t="s">
        <v>51</v>
      </c>
      <c r="L17" s="166">
        <f t="shared" ref="L17" si="7">SUM(L21,L25,L29)</f>
        <v>183</v>
      </c>
      <c r="M17" s="166">
        <f t="shared" si="3"/>
        <v>198</v>
      </c>
      <c r="U17" s="53"/>
    </row>
    <row r="18" spans="1:21" s="119" customFormat="1" ht="15.95" customHeight="1" x14ac:dyDescent="0.2">
      <c r="B18" s="127"/>
      <c r="C18" s="127"/>
      <c r="D18" s="227"/>
      <c r="E18" s="166"/>
      <c r="F18" s="166"/>
      <c r="G18" s="166"/>
      <c r="H18" s="166"/>
      <c r="I18" s="166"/>
      <c r="J18" s="166"/>
      <c r="K18" s="166"/>
      <c r="L18" s="166"/>
      <c r="M18" s="166"/>
      <c r="U18" s="53"/>
    </row>
    <row r="19" spans="1:21" s="53" customFormat="1" ht="15.95" customHeight="1" x14ac:dyDescent="0.2">
      <c r="B19" s="85" t="s">
        <v>21</v>
      </c>
      <c r="C19" s="85"/>
      <c r="D19" s="230">
        <v>2016</v>
      </c>
      <c r="E19" s="167">
        <f>SUM(F19:M19)</f>
        <v>115</v>
      </c>
      <c r="F19" s="167">
        <v>4</v>
      </c>
      <c r="G19" s="167">
        <v>10</v>
      </c>
      <c r="H19" s="165" t="s">
        <v>51</v>
      </c>
      <c r="I19" s="167">
        <v>58</v>
      </c>
      <c r="J19" s="167"/>
      <c r="K19" s="165" t="s">
        <v>51</v>
      </c>
      <c r="L19" s="167">
        <v>13</v>
      </c>
      <c r="M19" s="167">
        <v>30</v>
      </c>
      <c r="N19" s="119"/>
      <c r="O19" s="225"/>
      <c r="P19" s="225"/>
    </row>
    <row r="20" spans="1:21" s="53" customFormat="1" ht="15.95" customHeight="1" x14ac:dyDescent="0.2">
      <c r="B20" s="85"/>
      <c r="C20" s="85"/>
      <c r="D20" s="230">
        <v>2017</v>
      </c>
      <c r="E20" s="167">
        <f>SUM(F20:M20)</f>
        <v>80</v>
      </c>
      <c r="F20" s="167">
        <v>1</v>
      </c>
      <c r="G20" s="167">
        <v>9</v>
      </c>
      <c r="H20" s="165" t="s">
        <v>51</v>
      </c>
      <c r="I20" s="167">
        <v>34</v>
      </c>
      <c r="J20" s="167"/>
      <c r="K20" s="165" t="s">
        <v>51</v>
      </c>
      <c r="L20" s="167">
        <v>13</v>
      </c>
      <c r="M20" s="167">
        <v>23</v>
      </c>
      <c r="N20" s="119"/>
      <c r="O20" s="225"/>
    </row>
    <row r="21" spans="1:21" s="53" customFormat="1" ht="15.95" customHeight="1" x14ac:dyDescent="0.2">
      <c r="B21" s="85"/>
      <c r="C21" s="85"/>
      <c r="D21" s="230">
        <v>2018</v>
      </c>
      <c r="E21" s="167">
        <f>SUM(F21:M21)</f>
        <v>67</v>
      </c>
      <c r="F21" s="183">
        <f>2</f>
        <v>2</v>
      </c>
      <c r="G21" s="183">
        <f>11</f>
        <v>11</v>
      </c>
      <c r="H21" s="444" t="s">
        <v>51</v>
      </c>
      <c r="I21" s="183">
        <v>19</v>
      </c>
      <c r="J21" s="183"/>
      <c r="K21" s="444" t="s">
        <v>51</v>
      </c>
      <c r="L21" s="183">
        <v>7</v>
      </c>
      <c r="M21" s="183">
        <f>28</f>
        <v>28</v>
      </c>
      <c r="N21" s="119"/>
      <c r="O21" s="225"/>
    </row>
    <row r="22" spans="1:21" s="53" customFormat="1" ht="15.95" customHeight="1" x14ac:dyDescent="0.2">
      <c r="B22" s="85"/>
      <c r="C22" s="85"/>
      <c r="D22" s="230"/>
      <c r="E22" s="167"/>
      <c r="F22" s="167"/>
      <c r="G22" s="167"/>
      <c r="H22" s="167"/>
      <c r="I22" s="167"/>
      <c r="J22" s="167"/>
      <c r="K22" s="167"/>
      <c r="L22" s="167"/>
      <c r="M22" s="167"/>
      <c r="N22" s="119"/>
      <c r="O22" s="225"/>
    </row>
    <row r="23" spans="1:21" s="53" customFormat="1" ht="15.95" customHeight="1" x14ac:dyDescent="0.2">
      <c r="B23" s="85" t="s">
        <v>22</v>
      </c>
      <c r="C23" s="85"/>
      <c r="D23" s="230">
        <v>2016</v>
      </c>
      <c r="E23" s="167">
        <f>SUM(F23:M23)</f>
        <v>56</v>
      </c>
      <c r="F23" s="161">
        <v>4</v>
      </c>
      <c r="G23" s="162">
        <v>8</v>
      </c>
      <c r="H23" s="161" t="s">
        <v>51</v>
      </c>
      <c r="I23" s="162">
        <v>24</v>
      </c>
      <c r="J23" s="162"/>
      <c r="K23" s="161" t="s">
        <v>51</v>
      </c>
      <c r="L23" s="162">
        <v>7</v>
      </c>
      <c r="M23" s="162">
        <v>13</v>
      </c>
      <c r="N23" s="119"/>
      <c r="O23" s="225"/>
    </row>
    <row r="24" spans="1:21" s="53" customFormat="1" ht="15.95" customHeight="1" x14ac:dyDescent="0.2">
      <c r="B24" s="85"/>
      <c r="C24" s="85"/>
      <c r="D24" s="230">
        <v>2017</v>
      </c>
      <c r="E24" s="167">
        <f>SUM(F24:M24)</f>
        <v>67</v>
      </c>
      <c r="F24" s="161">
        <v>1</v>
      </c>
      <c r="G24" s="162">
        <v>17</v>
      </c>
      <c r="H24" s="161" t="s">
        <v>51</v>
      </c>
      <c r="I24" s="162">
        <v>22</v>
      </c>
      <c r="J24" s="162"/>
      <c r="K24" s="161" t="s">
        <v>51</v>
      </c>
      <c r="L24" s="162">
        <v>8</v>
      </c>
      <c r="M24" s="162">
        <v>19</v>
      </c>
      <c r="N24" s="119"/>
      <c r="O24" s="225"/>
    </row>
    <row r="25" spans="1:21" s="53" customFormat="1" ht="15.95" customHeight="1" x14ac:dyDescent="0.2">
      <c r="B25" s="85"/>
      <c r="C25" s="85"/>
      <c r="D25" s="230">
        <v>2018</v>
      </c>
      <c r="E25" s="167">
        <f>SUM(F25:M25)</f>
        <v>39</v>
      </c>
      <c r="F25" s="183">
        <f>1</f>
        <v>1</v>
      </c>
      <c r="G25" s="183">
        <f>5</f>
        <v>5</v>
      </c>
      <c r="H25" s="444" t="s">
        <v>51</v>
      </c>
      <c r="I25" s="183">
        <v>9</v>
      </c>
      <c r="J25" s="183"/>
      <c r="K25" s="444" t="s">
        <v>51</v>
      </c>
      <c r="L25" s="183">
        <v>5</v>
      </c>
      <c r="M25" s="183">
        <f>19</f>
        <v>19</v>
      </c>
      <c r="N25" s="119"/>
      <c r="O25" s="225"/>
    </row>
    <row r="26" spans="1:21" s="53" customFormat="1" ht="15.95" customHeight="1" x14ac:dyDescent="0.2">
      <c r="B26" s="85"/>
      <c r="C26" s="85"/>
      <c r="D26" s="230"/>
      <c r="E26" s="167"/>
      <c r="F26" s="161"/>
      <c r="G26" s="162"/>
      <c r="H26" s="162"/>
      <c r="I26" s="162"/>
      <c r="J26" s="162"/>
      <c r="K26" s="162"/>
      <c r="L26" s="162"/>
      <c r="M26" s="162"/>
      <c r="N26" s="119"/>
      <c r="O26" s="225"/>
    </row>
    <row r="27" spans="1:21" s="53" customFormat="1" ht="15.95" customHeight="1" x14ac:dyDescent="0.2">
      <c r="B27" s="85" t="s">
        <v>23</v>
      </c>
      <c r="C27" s="85"/>
      <c r="D27" s="230">
        <v>2016</v>
      </c>
      <c r="E27" s="167">
        <f>SUM(F27:M27)</f>
        <v>983</v>
      </c>
      <c r="F27" s="167">
        <v>5</v>
      </c>
      <c r="G27" s="167">
        <v>42</v>
      </c>
      <c r="H27" s="167">
        <v>2</v>
      </c>
      <c r="I27" s="167">
        <v>528</v>
      </c>
      <c r="J27" s="167"/>
      <c r="K27" s="165" t="s">
        <v>51</v>
      </c>
      <c r="L27" s="167">
        <v>256</v>
      </c>
      <c r="M27" s="167">
        <v>150</v>
      </c>
      <c r="N27" s="119"/>
      <c r="O27" s="225"/>
    </row>
    <row r="28" spans="1:21" s="53" customFormat="1" ht="15.95" customHeight="1" x14ac:dyDescent="0.2">
      <c r="B28" s="85"/>
      <c r="C28" s="85"/>
      <c r="D28" s="230">
        <v>2017</v>
      </c>
      <c r="E28" s="167">
        <f>SUM(F28:M28)</f>
        <v>695</v>
      </c>
      <c r="F28" s="167">
        <v>5</v>
      </c>
      <c r="G28" s="167">
        <v>43</v>
      </c>
      <c r="H28" s="167">
        <v>1</v>
      </c>
      <c r="I28" s="167">
        <v>293</v>
      </c>
      <c r="J28" s="167"/>
      <c r="K28" s="165" t="s">
        <v>51</v>
      </c>
      <c r="L28" s="167">
        <v>219</v>
      </c>
      <c r="M28" s="167">
        <v>134</v>
      </c>
      <c r="N28" s="119"/>
      <c r="O28" s="225"/>
    </row>
    <row r="29" spans="1:21" s="53" customFormat="1" ht="15.95" customHeight="1" x14ac:dyDescent="0.2">
      <c r="B29" s="85"/>
      <c r="C29" s="85"/>
      <c r="D29" s="230">
        <v>2018</v>
      </c>
      <c r="E29" s="167">
        <f>F29+G29+H29+M29</f>
        <v>197</v>
      </c>
      <c r="F29" s="183">
        <f>10</f>
        <v>10</v>
      </c>
      <c r="G29" s="183">
        <f>35</f>
        <v>35</v>
      </c>
      <c r="H29" s="183">
        <v>1</v>
      </c>
      <c r="I29" s="183">
        <v>147</v>
      </c>
      <c r="J29" s="183"/>
      <c r="K29" s="444" t="s">
        <v>51</v>
      </c>
      <c r="L29" s="183">
        <v>171</v>
      </c>
      <c r="M29" s="183">
        <f>151</f>
        <v>151</v>
      </c>
      <c r="N29" s="119"/>
      <c r="O29" s="225"/>
    </row>
    <row r="30" spans="1:21" s="53" customFormat="1" ht="8.1" customHeight="1" thickBot="1" x14ac:dyDescent="0.25">
      <c r="A30" s="219"/>
      <c r="B30" s="220"/>
      <c r="C30" s="220"/>
      <c r="D30" s="221"/>
      <c r="E30" s="221"/>
      <c r="F30" s="222"/>
      <c r="G30" s="222"/>
      <c r="H30" s="222"/>
      <c r="I30" s="222"/>
      <c r="J30" s="222"/>
      <c r="K30" s="222"/>
      <c r="L30" s="222"/>
      <c r="M30" s="223"/>
      <c r="N30" s="219"/>
    </row>
    <row r="31" spans="1:21" s="53" customFormat="1" ht="8.1" customHeight="1" x14ac:dyDescent="0.2">
      <c r="B31" s="118"/>
      <c r="C31" s="118"/>
      <c r="D31" s="66"/>
      <c r="E31" s="66"/>
      <c r="F31" s="117"/>
      <c r="G31" s="117"/>
      <c r="H31" s="117"/>
      <c r="I31" s="117"/>
      <c r="J31" s="117"/>
      <c r="K31" s="117"/>
      <c r="L31" s="117"/>
      <c r="M31" s="213"/>
    </row>
    <row r="32" spans="1:21" s="53" customFormat="1" ht="15.95" customHeight="1" x14ac:dyDescent="0.2">
      <c r="B32" s="226" t="s">
        <v>31</v>
      </c>
      <c r="C32" s="226"/>
      <c r="D32" s="227">
        <v>2016</v>
      </c>
      <c r="E32" s="228">
        <f>SUM(F32:M32)</f>
        <v>1084</v>
      </c>
      <c r="F32" s="228">
        <f>SUM(F36,F40,F44,F48,F52,F56,F60,F64)</f>
        <v>17</v>
      </c>
      <c r="G32" s="228">
        <f t="shared" ref="G32:M32" si="8">SUM(G36,G40,G44,G48,G52,G56,G60,G64)</f>
        <v>107</v>
      </c>
      <c r="H32" s="228">
        <f t="shared" ref="H32:I32" si="9">SUM(H36,H40,H44,H48,H52,H56,H60,H64)</f>
        <v>2</v>
      </c>
      <c r="I32" s="228">
        <f t="shared" si="9"/>
        <v>474</v>
      </c>
      <c r="J32" s="228"/>
      <c r="K32" s="228">
        <f t="shared" ref="K32:L32" si="10">SUM(K36,K40,K44,K48,K52,K56,K60,K64)</f>
        <v>2</v>
      </c>
      <c r="L32" s="228">
        <f t="shared" si="10"/>
        <v>223</v>
      </c>
      <c r="M32" s="228">
        <f t="shared" si="8"/>
        <v>259</v>
      </c>
    </row>
    <row r="33" spans="2:13" s="53" customFormat="1" ht="15.95" customHeight="1" x14ac:dyDescent="0.2">
      <c r="B33" s="226"/>
      <c r="C33" s="226"/>
      <c r="D33" s="227">
        <v>2017</v>
      </c>
      <c r="E33" s="228">
        <f>SUM(F33:M33)</f>
        <v>884</v>
      </c>
      <c r="F33" s="228">
        <f t="shared" ref="F33:M34" si="11">SUM(F37,F41,F45,F49,F53,F57,F61,F65)</f>
        <v>14</v>
      </c>
      <c r="G33" s="228">
        <f t="shared" si="11"/>
        <v>91</v>
      </c>
      <c r="H33" s="228">
        <f t="shared" ref="H33:I33" si="12">SUM(H37,H41,H45,H49,H53,H57,H61,H65)</f>
        <v>2</v>
      </c>
      <c r="I33" s="228">
        <f t="shared" si="12"/>
        <v>392</v>
      </c>
      <c r="J33" s="228"/>
      <c r="K33" s="445" t="s">
        <v>51</v>
      </c>
      <c r="L33" s="228">
        <f t="shared" ref="L33" si="13">SUM(L37,L41,L45,L49,L53,L57,L61,L65)</f>
        <v>144</v>
      </c>
      <c r="M33" s="228">
        <f t="shared" si="11"/>
        <v>241</v>
      </c>
    </row>
    <row r="34" spans="2:13" s="53" customFormat="1" ht="15.95" customHeight="1" x14ac:dyDescent="0.2">
      <c r="B34" s="226"/>
      <c r="C34" s="226"/>
      <c r="D34" s="227">
        <v>2018</v>
      </c>
      <c r="E34" s="228">
        <f>SUM(F34:M34)</f>
        <v>831</v>
      </c>
      <c r="F34" s="228">
        <f t="shared" si="11"/>
        <v>9</v>
      </c>
      <c r="G34" s="228">
        <f t="shared" si="11"/>
        <v>97</v>
      </c>
      <c r="H34" s="445" t="s">
        <v>51</v>
      </c>
      <c r="I34" s="228">
        <f t="shared" ref="I34" si="14">SUM(I38,I42,I46,I50,I54,I58,I62,I66)</f>
        <v>288</v>
      </c>
      <c r="J34" s="228"/>
      <c r="K34" s="228">
        <f t="shared" ref="K34:L34" si="15">SUM(K38,K42,K46,K50,K54,K58,K62,K66)</f>
        <v>1</v>
      </c>
      <c r="L34" s="228">
        <f t="shared" si="15"/>
        <v>187</v>
      </c>
      <c r="M34" s="228">
        <f t="shared" si="11"/>
        <v>249</v>
      </c>
    </row>
    <row r="35" spans="2:13" s="53" customFormat="1" ht="15.95" customHeight="1" x14ac:dyDescent="0.2">
      <c r="B35" s="226"/>
      <c r="C35" s="226"/>
      <c r="D35" s="227"/>
      <c r="E35" s="228"/>
      <c r="F35" s="228"/>
      <c r="G35" s="228"/>
      <c r="H35" s="228"/>
      <c r="I35" s="228"/>
      <c r="J35" s="228"/>
      <c r="K35" s="228"/>
      <c r="L35" s="228"/>
      <c r="M35" s="228"/>
    </row>
    <row r="36" spans="2:13" s="53" customFormat="1" ht="15.95" customHeight="1" x14ac:dyDescent="0.2">
      <c r="B36" s="229" t="s">
        <v>24</v>
      </c>
      <c r="C36" s="229"/>
      <c r="D36" s="230">
        <v>2016</v>
      </c>
      <c r="E36" s="231">
        <f>SUM(F36:M36)</f>
        <v>18</v>
      </c>
      <c r="F36" s="167" t="s">
        <v>51</v>
      </c>
      <c r="G36" s="167">
        <v>4</v>
      </c>
      <c r="H36" s="165" t="s">
        <v>51</v>
      </c>
      <c r="I36" s="167">
        <v>4</v>
      </c>
      <c r="J36" s="167"/>
      <c r="K36" s="165" t="s">
        <v>51</v>
      </c>
      <c r="L36" s="167">
        <v>4</v>
      </c>
      <c r="M36" s="167">
        <v>6</v>
      </c>
    </row>
    <row r="37" spans="2:13" s="53" customFormat="1" ht="15.95" customHeight="1" x14ac:dyDescent="0.2">
      <c r="B37" s="229"/>
      <c r="C37" s="229"/>
      <c r="D37" s="230">
        <v>2017</v>
      </c>
      <c r="E37" s="231">
        <f>SUM(F37:M37)</f>
        <v>19</v>
      </c>
      <c r="F37" s="167">
        <v>2</v>
      </c>
      <c r="G37" s="167">
        <v>3</v>
      </c>
      <c r="H37" s="167">
        <v>1</v>
      </c>
      <c r="I37" s="167">
        <v>1</v>
      </c>
      <c r="J37" s="167"/>
      <c r="K37" s="165" t="s">
        <v>51</v>
      </c>
      <c r="L37" s="167">
        <v>2</v>
      </c>
      <c r="M37" s="167">
        <v>10</v>
      </c>
    </row>
    <row r="38" spans="2:13" s="53" customFormat="1" ht="15.95" customHeight="1" x14ac:dyDescent="0.2">
      <c r="B38" s="229"/>
      <c r="C38" s="229"/>
      <c r="D38" s="230">
        <v>2018</v>
      </c>
      <c r="E38" s="231">
        <f>SUM(F38:M38)</f>
        <v>13</v>
      </c>
      <c r="F38" s="377">
        <f>0</f>
        <v>0</v>
      </c>
      <c r="G38" s="53">
        <f>2</f>
        <v>2</v>
      </c>
      <c r="H38" s="328" t="s">
        <v>51</v>
      </c>
      <c r="I38" s="53">
        <v>3</v>
      </c>
      <c r="K38" s="328" t="s">
        <v>51</v>
      </c>
      <c r="L38" s="53">
        <v>5</v>
      </c>
      <c r="M38" s="53">
        <f>3</f>
        <v>3</v>
      </c>
    </row>
    <row r="39" spans="2:13" s="53" customFormat="1" ht="15.95" customHeight="1" x14ac:dyDescent="0.2">
      <c r="B39" s="229"/>
      <c r="C39" s="229"/>
      <c r="D39" s="230"/>
      <c r="E39" s="231"/>
      <c r="F39" s="167"/>
      <c r="G39" s="167"/>
      <c r="H39" s="167"/>
      <c r="I39" s="167"/>
      <c r="J39" s="167"/>
      <c r="K39" s="167"/>
      <c r="L39" s="167"/>
      <c r="M39" s="167"/>
    </row>
    <row r="40" spans="2:13" s="53" customFormat="1" ht="15.95" customHeight="1" x14ac:dyDescent="0.2">
      <c r="B40" s="229" t="s">
        <v>30</v>
      </c>
      <c r="C40" s="229"/>
      <c r="D40" s="230">
        <v>2016</v>
      </c>
      <c r="E40" s="231">
        <f>SUM(F40:M40)</f>
        <v>61</v>
      </c>
      <c r="F40" s="165" t="s">
        <v>51</v>
      </c>
      <c r="G40" s="167">
        <v>16</v>
      </c>
      <c r="H40" s="165" t="s">
        <v>51</v>
      </c>
      <c r="I40" s="167">
        <v>9</v>
      </c>
      <c r="J40" s="167"/>
      <c r="K40" s="167">
        <v>1</v>
      </c>
      <c r="L40" s="167">
        <v>12</v>
      </c>
      <c r="M40" s="167">
        <v>23</v>
      </c>
    </row>
    <row r="41" spans="2:13" s="53" customFormat="1" ht="15.95" customHeight="1" x14ac:dyDescent="0.2">
      <c r="B41" s="229"/>
      <c r="C41" s="229"/>
      <c r="D41" s="230">
        <v>2017</v>
      </c>
      <c r="E41" s="231">
        <f>SUM(F41:M41)</f>
        <v>69</v>
      </c>
      <c r="F41" s="165">
        <v>4</v>
      </c>
      <c r="G41" s="167">
        <v>17</v>
      </c>
      <c r="H41" s="165" t="s">
        <v>51</v>
      </c>
      <c r="I41" s="167">
        <v>11</v>
      </c>
      <c r="J41" s="167"/>
      <c r="K41" s="165" t="s">
        <v>51</v>
      </c>
      <c r="L41" s="167">
        <v>12</v>
      </c>
      <c r="M41" s="167">
        <v>25</v>
      </c>
    </row>
    <row r="42" spans="2:13" s="53" customFormat="1" ht="15.95" customHeight="1" x14ac:dyDescent="0.2">
      <c r="B42" s="229"/>
      <c r="C42" s="229"/>
      <c r="D42" s="230">
        <v>2018</v>
      </c>
      <c r="E42" s="231">
        <f>SUM(F42:M42)</f>
        <v>51</v>
      </c>
      <c r="F42" s="377">
        <f>0</f>
        <v>0</v>
      </c>
      <c r="G42" s="53">
        <f>12</f>
        <v>12</v>
      </c>
      <c r="H42" s="328" t="s">
        <v>51</v>
      </c>
      <c r="I42" s="53">
        <v>10</v>
      </c>
      <c r="K42" s="328" t="s">
        <v>51</v>
      </c>
      <c r="L42" s="53">
        <v>10</v>
      </c>
      <c r="M42" s="53">
        <f>19</f>
        <v>19</v>
      </c>
    </row>
    <row r="43" spans="2:13" s="53" customFormat="1" ht="15.95" customHeight="1" x14ac:dyDescent="0.2">
      <c r="B43" s="229"/>
      <c r="C43" s="229"/>
      <c r="D43" s="230"/>
      <c r="E43" s="231"/>
      <c r="F43" s="165"/>
      <c r="G43" s="167"/>
      <c r="H43" s="167"/>
      <c r="I43" s="167"/>
      <c r="J43" s="167"/>
      <c r="K43" s="167"/>
      <c r="L43" s="167"/>
      <c r="M43" s="167"/>
    </row>
    <row r="44" spans="2:13" s="53" customFormat="1" ht="15.95" customHeight="1" x14ac:dyDescent="0.2">
      <c r="B44" s="229" t="s">
        <v>25</v>
      </c>
      <c r="C44" s="229"/>
      <c r="D44" s="230">
        <v>2016</v>
      </c>
      <c r="E44" s="231">
        <f>SUM(F44:M44)</f>
        <v>55</v>
      </c>
      <c r="F44" s="167" t="s">
        <v>51</v>
      </c>
      <c r="G44" s="167">
        <v>10</v>
      </c>
      <c r="H44" s="165" t="s">
        <v>51</v>
      </c>
      <c r="I44" s="167">
        <v>13</v>
      </c>
      <c r="J44" s="167"/>
      <c r="K44" s="165" t="s">
        <v>51</v>
      </c>
      <c r="L44" s="167">
        <v>11</v>
      </c>
      <c r="M44" s="167">
        <v>21</v>
      </c>
    </row>
    <row r="45" spans="2:13" s="53" customFormat="1" ht="15.95" customHeight="1" x14ac:dyDescent="0.2">
      <c r="B45" s="229"/>
      <c r="C45" s="229"/>
      <c r="D45" s="230">
        <v>2017</v>
      </c>
      <c r="E45" s="231">
        <f>SUM(F45:M45)</f>
        <v>50</v>
      </c>
      <c r="F45" s="167">
        <v>1</v>
      </c>
      <c r="G45" s="167">
        <v>4</v>
      </c>
      <c r="H45" s="165" t="s">
        <v>51</v>
      </c>
      <c r="I45" s="167">
        <v>19</v>
      </c>
      <c r="J45" s="167"/>
      <c r="K45" s="165" t="s">
        <v>51</v>
      </c>
      <c r="L45" s="167">
        <v>6</v>
      </c>
      <c r="M45" s="167">
        <v>20</v>
      </c>
    </row>
    <row r="46" spans="2:13" s="53" customFormat="1" ht="15.95" customHeight="1" x14ac:dyDescent="0.2">
      <c r="B46" s="229"/>
      <c r="C46" s="229"/>
      <c r="D46" s="230">
        <v>2018</v>
      </c>
      <c r="E46" s="231">
        <f>SUM(F46:M46)</f>
        <v>34</v>
      </c>
      <c r="F46" s="328" t="s">
        <v>51</v>
      </c>
      <c r="G46" s="53">
        <f>6</f>
        <v>6</v>
      </c>
      <c r="H46" s="328" t="s">
        <v>51</v>
      </c>
      <c r="I46" s="53">
        <v>6</v>
      </c>
      <c r="K46" s="328" t="s">
        <v>51</v>
      </c>
      <c r="L46" s="53">
        <v>10</v>
      </c>
      <c r="M46" s="53">
        <f>12</f>
        <v>12</v>
      </c>
    </row>
    <row r="47" spans="2:13" s="53" customFormat="1" ht="15.95" customHeight="1" x14ac:dyDescent="0.2">
      <c r="B47" s="229"/>
      <c r="C47" s="229"/>
      <c r="D47" s="230"/>
      <c r="E47" s="231"/>
      <c r="F47" s="167"/>
      <c r="G47" s="167"/>
      <c r="H47" s="167"/>
      <c r="I47" s="167"/>
      <c r="J47" s="167"/>
      <c r="K47" s="167"/>
      <c r="L47" s="167"/>
      <c r="M47" s="167"/>
    </row>
    <row r="48" spans="2:13" s="53" customFormat="1" ht="15.95" customHeight="1" x14ac:dyDescent="0.2">
      <c r="B48" s="229" t="s">
        <v>68</v>
      </c>
      <c r="C48" s="229"/>
      <c r="D48" s="230">
        <v>2016</v>
      </c>
      <c r="E48" s="231">
        <f>SUM(F48:M48)</f>
        <v>359</v>
      </c>
      <c r="F48" s="165">
        <v>6</v>
      </c>
      <c r="G48" s="167">
        <v>16</v>
      </c>
      <c r="H48" s="167">
        <v>1</v>
      </c>
      <c r="I48" s="167">
        <v>206</v>
      </c>
      <c r="J48" s="167"/>
      <c r="K48" s="165" t="s">
        <v>51</v>
      </c>
      <c r="L48" s="167">
        <v>68</v>
      </c>
      <c r="M48" s="167">
        <v>62</v>
      </c>
    </row>
    <row r="49" spans="2:13" s="53" customFormat="1" ht="15.95" customHeight="1" x14ac:dyDescent="0.2">
      <c r="B49" s="229"/>
      <c r="C49" s="229"/>
      <c r="D49" s="230">
        <v>2017</v>
      </c>
      <c r="E49" s="231">
        <f>SUM(F49:M49)</f>
        <v>276</v>
      </c>
      <c r="F49" s="165">
        <v>1</v>
      </c>
      <c r="G49" s="167">
        <v>14</v>
      </c>
      <c r="H49" s="167">
        <v>1</v>
      </c>
      <c r="I49" s="167">
        <v>139</v>
      </c>
      <c r="J49" s="167"/>
      <c r="K49" s="165" t="s">
        <v>51</v>
      </c>
      <c r="L49" s="167">
        <v>48</v>
      </c>
      <c r="M49" s="167">
        <v>73</v>
      </c>
    </row>
    <row r="50" spans="2:13" s="53" customFormat="1" ht="15.95" customHeight="1" x14ac:dyDescent="0.2">
      <c r="B50" s="229"/>
      <c r="C50" s="229"/>
      <c r="D50" s="230">
        <v>2018</v>
      </c>
      <c r="E50" s="231">
        <f>SUM(F50:M50)</f>
        <v>261</v>
      </c>
      <c r="F50" s="377">
        <f>0</f>
        <v>0</v>
      </c>
      <c r="G50" s="53">
        <f>19</f>
        <v>19</v>
      </c>
      <c r="H50" s="328" t="s">
        <v>51</v>
      </c>
      <c r="I50" s="53">
        <v>93</v>
      </c>
      <c r="K50" s="328" t="s">
        <v>51</v>
      </c>
      <c r="L50" s="53">
        <v>56</v>
      </c>
      <c r="M50" s="53">
        <v>93</v>
      </c>
    </row>
    <row r="51" spans="2:13" s="53" customFormat="1" ht="15.95" customHeight="1" x14ac:dyDescent="0.2">
      <c r="B51" s="229"/>
      <c r="C51" s="229"/>
      <c r="D51" s="230"/>
      <c r="E51" s="231"/>
      <c r="F51" s="165"/>
      <c r="G51" s="167"/>
      <c r="H51" s="167"/>
      <c r="I51" s="167"/>
      <c r="J51" s="167"/>
      <c r="K51" s="167"/>
      <c r="L51" s="167"/>
      <c r="M51" s="167"/>
    </row>
    <row r="52" spans="2:13" s="53" customFormat="1" ht="15.95" customHeight="1" x14ac:dyDescent="0.2">
      <c r="B52" s="229" t="s">
        <v>26</v>
      </c>
      <c r="C52" s="229"/>
      <c r="D52" s="230">
        <v>2016</v>
      </c>
      <c r="E52" s="231">
        <f>SUM(F52:M52)</f>
        <v>110</v>
      </c>
      <c r="F52" s="167">
        <v>2</v>
      </c>
      <c r="G52" s="167">
        <v>10</v>
      </c>
      <c r="H52" s="165" t="s">
        <v>51</v>
      </c>
      <c r="I52" s="167">
        <v>45</v>
      </c>
      <c r="J52" s="167"/>
      <c r="K52" s="165" t="s">
        <v>51</v>
      </c>
      <c r="L52" s="167">
        <v>11</v>
      </c>
      <c r="M52" s="167">
        <v>42</v>
      </c>
    </row>
    <row r="53" spans="2:13" s="53" customFormat="1" ht="15.95" customHeight="1" x14ac:dyDescent="0.2">
      <c r="B53" s="229"/>
      <c r="C53" s="229"/>
      <c r="D53" s="230">
        <v>2017</v>
      </c>
      <c r="E53" s="231">
        <f>SUM(F53:M53)</f>
        <v>84</v>
      </c>
      <c r="F53" s="167">
        <v>1</v>
      </c>
      <c r="G53" s="167">
        <v>13</v>
      </c>
      <c r="H53" s="165" t="s">
        <v>51</v>
      </c>
      <c r="I53" s="167">
        <v>33</v>
      </c>
      <c r="J53" s="167"/>
      <c r="K53" s="165" t="s">
        <v>51</v>
      </c>
      <c r="L53" s="167">
        <v>12</v>
      </c>
      <c r="M53" s="167">
        <v>25</v>
      </c>
    </row>
    <row r="54" spans="2:13" s="53" customFormat="1" ht="15.95" customHeight="1" x14ac:dyDescent="0.2">
      <c r="B54" s="229"/>
      <c r="C54" s="229"/>
      <c r="D54" s="230">
        <v>2018</v>
      </c>
      <c r="E54" s="231">
        <f>SUM(F54:M54)</f>
        <v>96</v>
      </c>
      <c r="F54" s="53">
        <f>3</f>
        <v>3</v>
      </c>
      <c r="G54" s="53">
        <f>18</f>
        <v>18</v>
      </c>
      <c r="H54" s="328" t="s">
        <v>51</v>
      </c>
      <c r="I54" s="53">
        <v>36</v>
      </c>
      <c r="K54" s="328" t="s">
        <v>51</v>
      </c>
      <c r="L54" s="53">
        <v>14</v>
      </c>
      <c r="M54" s="53">
        <f>25</f>
        <v>25</v>
      </c>
    </row>
    <row r="55" spans="2:13" s="53" customFormat="1" ht="15.95" customHeight="1" x14ac:dyDescent="0.2">
      <c r="B55" s="229"/>
      <c r="C55" s="229"/>
      <c r="D55" s="230"/>
      <c r="E55" s="231"/>
      <c r="F55" s="167"/>
      <c r="G55" s="167"/>
      <c r="H55" s="167"/>
      <c r="I55" s="167"/>
      <c r="J55" s="167"/>
      <c r="K55" s="167"/>
      <c r="L55" s="167"/>
      <c r="M55" s="167"/>
    </row>
    <row r="56" spans="2:13" s="53" customFormat="1" ht="15.95" customHeight="1" x14ac:dyDescent="0.2">
      <c r="B56" s="229" t="s">
        <v>27</v>
      </c>
      <c r="C56" s="229"/>
      <c r="D56" s="230">
        <v>2016</v>
      </c>
      <c r="E56" s="231">
        <f>SUM(F56:M56)</f>
        <v>32</v>
      </c>
      <c r="F56" s="165">
        <v>2</v>
      </c>
      <c r="G56" s="167">
        <v>4</v>
      </c>
      <c r="H56" s="165" t="s">
        <v>51</v>
      </c>
      <c r="I56" s="167">
        <v>11</v>
      </c>
      <c r="J56" s="167"/>
      <c r="K56" s="165" t="s">
        <v>51</v>
      </c>
      <c r="L56" s="167">
        <v>3</v>
      </c>
      <c r="M56" s="167">
        <v>12</v>
      </c>
    </row>
    <row r="57" spans="2:13" s="53" customFormat="1" ht="15.95" customHeight="1" x14ac:dyDescent="0.2">
      <c r="B57" s="229"/>
      <c r="C57" s="229"/>
      <c r="D57" s="230">
        <v>2017</v>
      </c>
      <c r="E57" s="231">
        <f>SUM(F57:M57)</f>
        <v>16</v>
      </c>
      <c r="F57" s="165" t="s">
        <v>51</v>
      </c>
      <c r="G57" s="167">
        <v>2</v>
      </c>
      <c r="H57" s="165" t="s">
        <v>51</v>
      </c>
      <c r="I57" s="167">
        <v>6</v>
      </c>
      <c r="J57" s="167"/>
      <c r="K57" s="165" t="s">
        <v>51</v>
      </c>
      <c r="L57" s="167">
        <v>1</v>
      </c>
      <c r="M57" s="167">
        <v>7</v>
      </c>
    </row>
    <row r="58" spans="2:13" s="53" customFormat="1" ht="15.95" customHeight="1" x14ac:dyDescent="0.2">
      <c r="B58" s="229"/>
      <c r="C58" s="229"/>
      <c r="D58" s="230">
        <v>2018</v>
      </c>
      <c r="E58" s="231">
        <f>SUM(F58:M58)</f>
        <v>31</v>
      </c>
      <c r="F58" s="53">
        <f>1</f>
        <v>1</v>
      </c>
      <c r="G58" s="53">
        <f>6</f>
        <v>6</v>
      </c>
      <c r="H58" s="328" t="s">
        <v>51</v>
      </c>
      <c r="I58" s="53">
        <v>10</v>
      </c>
      <c r="K58" s="328" t="s">
        <v>51</v>
      </c>
      <c r="L58" s="53">
        <v>5</v>
      </c>
      <c r="M58" s="53">
        <f>9</f>
        <v>9</v>
      </c>
    </row>
    <row r="59" spans="2:13" s="53" customFormat="1" ht="15.95" customHeight="1" x14ac:dyDescent="0.2">
      <c r="B59" s="229"/>
      <c r="C59" s="229"/>
      <c r="D59" s="230"/>
      <c r="E59" s="231"/>
      <c r="F59" s="165"/>
      <c r="G59" s="167"/>
      <c r="H59" s="167"/>
      <c r="I59" s="167"/>
      <c r="J59" s="167"/>
      <c r="K59" s="167"/>
      <c r="L59" s="167"/>
      <c r="M59" s="167"/>
    </row>
    <row r="60" spans="2:13" s="53" customFormat="1" ht="15.95" customHeight="1" x14ac:dyDescent="0.2">
      <c r="B60" s="229" t="s">
        <v>28</v>
      </c>
      <c r="C60" s="229"/>
      <c r="D60" s="230">
        <v>2016</v>
      </c>
      <c r="E60" s="231">
        <f>SUM(F60:M60)</f>
        <v>386</v>
      </c>
      <c r="F60" s="167">
        <v>7</v>
      </c>
      <c r="G60" s="167">
        <v>36</v>
      </c>
      <c r="H60" s="167">
        <v>1</v>
      </c>
      <c r="I60" s="167">
        <v>169</v>
      </c>
      <c r="J60" s="167"/>
      <c r="K60" s="167">
        <v>1</v>
      </c>
      <c r="L60" s="167">
        <v>99</v>
      </c>
      <c r="M60" s="167">
        <v>73</v>
      </c>
    </row>
    <row r="61" spans="2:13" s="53" customFormat="1" ht="15.95" customHeight="1" x14ac:dyDescent="0.2">
      <c r="B61" s="229"/>
      <c r="C61" s="229"/>
      <c r="D61" s="230">
        <v>2017</v>
      </c>
      <c r="E61" s="231">
        <f>SUM(F61:M61)</f>
        <v>331</v>
      </c>
      <c r="F61" s="167">
        <v>4</v>
      </c>
      <c r="G61" s="167">
        <v>28</v>
      </c>
      <c r="H61" s="165" t="s">
        <v>51</v>
      </c>
      <c r="I61" s="167">
        <v>169</v>
      </c>
      <c r="J61" s="167"/>
      <c r="K61" s="165" t="s">
        <v>51</v>
      </c>
      <c r="L61" s="167">
        <v>60</v>
      </c>
      <c r="M61" s="167">
        <v>70</v>
      </c>
    </row>
    <row r="62" spans="2:13" s="53" customFormat="1" ht="15.95" customHeight="1" x14ac:dyDescent="0.2">
      <c r="B62" s="229"/>
      <c r="C62" s="229"/>
      <c r="D62" s="230">
        <v>2018</v>
      </c>
      <c r="E62" s="231">
        <f>SUM(F62:M62)</f>
        <v>310</v>
      </c>
      <c r="F62" s="53">
        <f>5</f>
        <v>5</v>
      </c>
      <c r="G62" s="53">
        <f>30</f>
        <v>30</v>
      </c>
      <c r="H62" s="328" t="s">
        <v>51</v>
      </c>
      <c r="I62" s="53">
        <v>123</v>
      </c>
      <c r="K62" s="117">
        <v>1</v>
      </c>
      <c r="L62" s="53">
        <v>79</v>
      </c>
      <c r="M62" s="53">
        <f>72</f>
        <v>72</v>
      </c>
    </row>
    <row r="63" spans="2:13" s="53" customFormat="1" ht="15.95" customHeight="1" x14ac:dyDescent="0.2">
      <c r="B63" s="229"/>
      <c r="C63" s="229"/>
      <c r="D63" s="230"/>
      <c r="E63" s="231"/>
      <c r="F63" s="167"/>
      <c r="G63" s="167"/>
      <c r="H63" s="167"/>
      <c r="I63" s="167"/>
      <c r="J63" s="167"/>
      <c r="K63" s="167"/>
      <c r="L63" s="167"/>
      <c r="M63" s="167"/>
    </row>
    <row r="64" spans="2:13" s="53" customFormat="1" ht="15.95" customHeight="1" x14ac:dyDescent="0.2">
      <c r="B64" s="229" t="s">
        <v>29</v>
      </c>
      <c r="C64" s="229"/>
      <c r="D64" s="230">
        <v>2016</v>
      </c>
      <c r="E64" s="231">
        <f>SUM(F64:M64)</f>
        <v>63</v>
      </c>
      <c r="F64" s="165" t="s">
        <v>51</v>
      </c>
      <c r="G64" s="162">
        <v>11</v>
      </c>
      <c r="H64" s="165" t="s">
        <v>51</v>
      </c>
      <c r="I64" s="167">
        <v>17</v>
      </c>
      <c r="J64" s="167"/>
      <c r="K64" s="165" t="s">
        <v>51</v>
      </c>
      <c r="L64" s="167">
        <v>15</v>
      </c>
      <c r="M64" s="162">
        <v>20</v>
      </c>
    </row>
    <row r="65" spans="1:14" s="53" customFormat="1" ht="15.95" customHeight="1" x14ac:dyDescent="0.2">
      <c r="B65" s="229"/>
      <c r="C65" s="229"/>
      <c r="D65" s="230">
        <v>2017</v>
      </c>
      <c r="E65" s="231">
        <f>SUM(F65:M65)</f>
        <v>39</v>
      </c>
      <c r="F65" s="165">
        <v>1</v>
      </c>
      <c r="G65" s="162">
        <v>10</v>
      </c>
      <c r="H65" s="165" t="s">
        <v>51</v>
      </c>
      <c r="I65" s="167">
        <v>14</v>
      </c>
      <c r="J65" s="167"/>
      <c r="K65" s="165" t="s">
        <v>51</v>
      </c>
      <c r="L65" s="167">
        <v>3</v>
      </c>
      <c r="M65" s="162">
        <v>11</v>
      </c>
    </row>
    <row r="66" spans="1:14" s="53" customFormat="1" ht="15.95" customHeight="1" x14ac:dyDescent="0.2">
      <c r="B66" s="229"/>
      <c r="C66" s="229"/>
      <c r="D66" s="230">
        <v>2018</v>
      </c>
      <c r="E66" s="231">
        <f>SUM(F66:M66)</f>
        <v>35</v>
      </c>
      <c r="F66" s="377">
        <f>0</f>
        <v>0</v>
      </c>
      <c r="G66" s="53">
        <f>4</f>
        <v>4</v>
      </c>
      <c r="H66" s="328" t="s">
        <v>51</v>
      </c>
      <c r="I66" s="53">
        <v>7</v>
      </c>
      <c r="K66" s="328" t="s">
        <v>51</v>
      </c>
      <c r="L66" s="53">
        <v>8</v>
      </c>
      <c r="M66" s="53">
        <f>16</f>
        <v>16</v>
      </c>
    </row>
    <row r="67" spans="1:14" s="53" customFormat="1" ht="8.1" customHeight="1" thickBot="1" x14ac:dyDescent="0.25">
      <c r="A67" s="219"/>
      <c r="B67" s="220"/>
      <c r="C67" s="220"/>
      <c r="D67" s="220"/>
      <c r="E67" s="221"/>
      <c r="F67" s="222"/>
      <c r="G67" s="222"/>
      <c r="H67" s="222"/>
      <c r="I67" s="222"/>
      <c r="J67" s="222"/>
      <c r="K67" s="222"/>
      <c r="L67" s="222"/>
      <c r="M67" s="223"/>
      <c r="N67" s="219"/>
    </row>
    <row r="68" spans="1:14" s="53" customFormat="1" ht="12.75" x14ac:dyDescent="0.2">
      <c r="B68" s="118"/>
      <c r="C68" s="118"/>
      <c r="D68" s="118"/>
      <c r="E68" s="66"/>
      <c r="F68" s="117"/>
      <c r="G68" s="117"/>
      <c r="H68" s="117"/>
      <c r="I68" s="117"/>
      <c r="J68" s="117"/>
      <c r="K68" s="117"/>
      <c r="L68" s="117"/>
      <c r="M68" s="213"/>
      <c r="N68" s="8" t="s">
        <v>101</v>
      </c>
    </row>
    <row r="69" spans="1:14" s="53" customFormat="1" ht="12.75" x14ac:dyDescent="0.2">
      <c r="B69" s="118"/>
      <c r="C69" s="118"/>
      <c r="D69" s="118"/>
      <c r="E69" s="66"/>
      <c r="F69" s="117"/>
      <c r="G69" s="117"/>
      <c r="H69" s="117"/>
      <c r="I69" s="117"/>
      <c r="J69" s="117"/>
      <c r="K69" s="117"/>
      <c r="L69" s="117"/>
      <c r="M69" s="213"/>
      <c r="N69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4"/>
  <sheetViews>
    <sheetView showGridLines="0" tabSelected="1" zoomScaleNormal="100" zoomScaleSheetLayoutView="100" workbookViewId="0">
      <selection activeCell="J23" sqref="J23"/>
    </sheetView>
  </sheetViews>
  <sheetFormatPr defaultRowHeight="15" x14ac:dyDescent="0.25"/>
  <cols>
    <col min="1" max="1" width="1.42578125" style="2" customWidth="1"/>
    <col min="2" max="2" width="10.2851562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22" customWidth="1"/>
    <col min="14" max="14" width="0.85546875" style="2" customWidth="1"/>
    <col min="15" max="16384" width="9.140625" style="2"/>
  </cols>
  <sheetData>
    <row r="1" spans="1:19" ht="9.9499999999999993" customHeight="1" x14ac:dyDescent="0.25">
      <c r="B1" s="3" t="s">
        <v>203</v>
      </c>
      <c r="M1" s="5"/>
    </row>
    <row r="2" spans="1:19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9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9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9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9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9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9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9" s="53" customFormat="1" ht="9.9499999999999993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9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9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9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9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9" s="53" customFormat="1" ht="8.1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9" s="53" customFormat="1" ht="18" customHeight="1" x14ac:dyDescent="0.2">
      <c r="B15" s="127" t="s">
        <v>100</v>
      </c>
      <c r="C15" s="127"/>
      <c r="D15" s="65">
        <v>2016</v>
      </c>
      <c r="E15" s="166">
        <f>SUM(F15:M15)</f>
        <v>651</v>
      </c>
      <c r="F15" s="166">
        <f>SUM(F19,F23,F27,F31,F35,F39,F43,F47,F51,F55,F59)</f>
        <v>15</v>
      </c>
      <c r="G15" s="166">
        <f t="shared" ref="G15:M15" si="0">SUM(G19,G23,G27,G31,G35,G39,G43,G47,G51,G55,G59)</f>
        <v>134</v>
      </c>
      <c r="H15" s="143" t="s">
        <v>51</v>
      </c>
      <c r="I15" s="166">
        <f t="shared" ref="I15" si="1">SUM(I19,I23,I27,I31,I35,I39,I43,I47,I51,I55,I59)</f>
        <v>234</v>
      </c>
      <c r="J15" s="166"/>
      <c r="K15" s="166">
        <f t="shared" ref="K15:L15" si="2">SUM(K19,K23,K27,K31,K35,K39,K43,K47,K51,K55,K59)</f>
        <v>1</v>
      </c>
      <c r="L15" s="166">
        <f t="shared" si="2"/>
        <v>58</v>
      </c>
      <c r="M15" s="166">
        <f t="shared" si="0"/>
        <v>209</v>
      </c>
      <c r="N15" s="225"/>
    </row>
    <row r="16" spans="1:19" s="53" customFormat="1" ht="18" customHeight="1" x14ac:dyDescent="0.2">
      <c r="B16" s="127"/>
      <c r="C16" s="127"/>
      <c r="D16" s="65">
        <v>2017</v>
      </c>
      <c r="E16" s="166">
        <f>SUM(F16:M16)</f>
        <v>656</v>
      </c>
      <c r="F16" s="166">
        <f t="shared" ref="F16:M17" si="3">SUM(F20,F24,F28,F32,F36,F40,F44,F48,F52,F56,F60)</f>
        <v>16</v>
      </c>
      <c r="G16" s="166">
        <f t="shared" si="3"/>
        <v>163</v>
      </c>
      <c r="H16" s="166">
        <f t="shared" ref="H16:I16" si="4">SUM(H20,H24,H28,H32,H36,H40,H44,H48,H52,H56,H60)</f>
        <v>1</v>
      </c>
      <c r="I16" s="166">
        <f t="shared" si="4"/>
        <v>201</v>
      </c>
      <c r="J16" s="166"/>
      <c r="K16" s="143" t="s">
        <v>51</v>
      </c>
      <c r="L16" s="166">
        <f t="shared" ref="L16" si="5">SUM(L20,L24,L28,L32,L36,L40,L44,L48,L52,L56,L60)</f>
        <v>87</v>
      </c>
      <c r="M16" s="166">
        <f t="shared" si="3"/>
        <v>188</v>
      </c>
      <c r="N16" s="225"/>
      <c r="O16" s="378"/>
      <c r="P16" s="378"/>
      <c r="Q16" s="378"/>
      <c r="R16" s="378"/>
      <c r="S16" s="378"/>
    </row>
    <row r="17" spans="2:19" s="53" customFormat="1" ht="18" customHeight="1" x14ac:dyDescent="0.2">
      <c r="B17" s="127"/>
      <c r="C17" s="127"/>
      <c r="D17" s="65">
        <v>2018</v>
      </c>
      <c r="E17" s="166">
        <f>F17+G17+H17+M17</f>
        <v>318</v>
      </c>
      <c r="F17" s="166">
        <f t="shared" si="3"/>
        <v>8</v>
      </c>
      <c r="G17" s="166">
        <f t="shared" si="3"/>
        <v>109</v>
      </c>
      <c r="H17" s="166">
        <f t="shared" ref="H17:I17" si="6">SUM(H21,H25,H29,H33,H37,H41,H45,H49,H53,H57,H61)</f>
        <v>2</v>
      </c>
      <c r="I17" s="166">
        <f t="shared" si="6"/>
        <v>164</v>
      </c>
      <c r="J17" s="166"/>
      <c r="K17" s="143" t="s">
        <v>51</v>
      </c>
      <c r="L17" s="166">
        <f t="shared" ref="L17" si="7">SUM(L21,L25,L29,L33,L37,L41,L45,L49,L53,L57,L61)</f>
        <v>90</v>
      </c>
      <c r="M17" s="166">
        <f t="shared" si="3"/>
        <v>199</v>
      </c>
      <c r="N17" s="225"/>
      <c r="O17" s="378"/>
      <c r="P17" s="378"/>
      <c r="Q17" s="378"/>
      <c r="R17" s="378"/>
      <c r="S17" s="378"/>
    </row>
    <row r="18" spans="2:19" s="53" customFormat="1" ht="18" customHeight="1" x14ac:dyDescent="0.2">
      <c r="B18" s="127"/>
      <c r="C18" s="127"/>
      <c r="D18" s="65"/>
      <c r="E18" s="166"/>
      <c r="F18" s="166"/>
      <c r="G18" s="166"/>
      <c r="H18" s="166"/>
      <c r="I18" s="166"/>
      <c r="J18" s="166"/>
      <c r="K18" s="166"/>
      <c r="L18" s="166"/>
      <c r="M18" s="166"/>
      <c r="N18" s="225"/>
      <c r="O18" s="378"/>
      <c r="P18" s="378"/>
      <c r="Q18" s="378"/>
      <c r="R18" s="378"/>
      <c r="S18" s="378"/>
    </row>
    <row r="19" spans="2:19" s="53" customFormat="1" ht="18" customHeight="1" x14ac:dyDescent="0.2">
      <c r="B19" s="85" t="s">
        <v>32</v>
      </c>
      <c r="C19" s="85"/>
      <c r="D19" s="162">
        <v>2016</v>
      </c>
      <c r="E19" s="167">
        <f>SUM(F19:M19)</f>
        <v>67</v>
      </c>
      <c r="F19" s="167">
        <v>2</v>
      </c>
      <c r="G19" s="167">
        <v>3</v>
      </c>
      <c r="H19" s="165" t="s">
        <v>51</v>
      </c>
      <c r="I19" s="167">
        <v>21</v>
      </c>
      <c r="J19" s="167"/>
      <c r="K19" s="165" t="s">
        <v>51</v>
      </c>
      <c r="L19" s="167">
        <v>8</v>
      </c>
      <c r="M19" s="167">
        <v>33</v>
      </c>
      <c r="N19" s="225"/>
      <c r="O19" s="378"/>
      <c r="P19" s="378"/>
      <c r="Q19" s="378"/>
      <c r="R19" s="378"/>
      <c r="S19" s="378"/>
    </row>
    <row r="20" spans="2:19" s="53" customFormat="1" ht="18" customHeight="1" x14ac:dyDescent="0.2">
      <c r="B20" s="85"/>
      <c r="C20" s="85"/>
      <c r="D20" s="162">
        <v>2017</v>
      </c>
      <c r="E20" s="167">
        <f t="shared" ref="E20:E21" si="8">SUM(F20:M20)</f>
        <v>47</v>
      </c>
      <c r="F20" s="167">
        <v>2</v>
      </c>
      <c r="G20" s="167">
        <v>7</v>
      </c>
      <c r="H20" s="165" t="s">
        <v>51</v>
      </c>
      <c r="I20" s="167">
        <v>6</v>
      </c>
      <c r="J20" s="167"/>
      <c r="K20" s="165" t="s">
        <v>51</v>
      </c>
      <c r="L20" s="167">
        <v>8</v>
      </c>
      <c r="M20" s="167">
        <v>24</v>
      </c>
      <c r="N20" s="225"/>
      <c r="O20" s="378"/>
      <c r="P20" s="378"/>
      <c r="Q20" s="378"/>
      <c r="R20" s="378"/>
      <c r="S20" s="378"/>
    </row>
    <row r="21" spans="2:19" s="53" customFormat="1" ht="18" customHeight="1" x14ac:dyDescent="0.2">
      <c r="B21" s="85"/>
      <c r="C21" s="85"/>
      <c r="D21" s="162">
        <v>2018</v>
      </c>
      <c r="E21" s="167">
        <f t="shared" si="8"/>
        <v>55</v>
      </c>
      <c r="F21" s="53">
        <f>1</f>
        <v>1</v>
      </c>
      <c r="G21" s="53">
        <f>5</f>
        <v>5</v>
      </c>
      <c r="H21" s="328" t="s">
        <v>51</v>
      </c>
      <c r="I21" s="53">
        <v>12</v>
      </c>
      <c r="K21" s="328" t="s">
        <v>51</v>
      </c>
      <c r="L21" s="53">
        <v>7</v>
      </c>
      <c r="M21" s="53">
        <f>30</f>
        <v>30</v>
      </c>
      <c r="N21" s="225"/>
      <c r="O21" s="378"/>
      <c r="P21" s="378"/>
      <c r="Q21" s="378"/>
      <c r="R21" s="378"/>
      <c r="S21" s="378"/>
    </row>
    <row r="22" spans="2:19" s="53" customFormat="1" ht="18" customHeight="1" x14ac:dyDescent="0.2">
      <c r="B22" s="85"/>
      <c r="C22" s="85"/>
      <c r="D22" s="162"/>
      <c r="E22" s="167"/>
      <c r="F22" s="167"/>
      <c r="G22" s="167"/>
      <c r="H22" s="167"/>
      <c r="I22" s="167"/>
      <c r="J22" s="167"/>
      <c r="K22" s="167"/>
      <c r="L22" s="167"/>
      <c r="M22" s="167"/>
      <c r="N22" s="225"/>
      <c r="O22" s="378"/>
      <c r="P22" s="378"/>
      <c r="Q22" s="378"/>
      <c r="R22" s="378"/>
      <c r="S22" s="378"/>
    </row>
    <row r="23" spans="2:19" s="53" customFormat="1" ht="18" customHeight="1" x14ac:dyDescent="0.2">
      <c r="B23" s="85" t="s">
        <v>42</v>
      </c>
      <c r="C23" s="85"/>
      <c r="D23" s="162">
        <v>2016</v>
      </c>
      <c r="E23" s="167">
        <f>SUM(F23:M23)</f>
        <v>31</v>
      </c>
      <c r="F23" s="165" t="s">
        <v>51</v>
      </c>
      <c r="G23" s="167">
        <v>9</v>
      </c>
      <c r="H23" s="165" t="s">
        <v>51</v>
      </c>
      <c r="I23" s="167">
        <v>8</v>
      </c>
      <c r="J23" s="167"/>
      <c r="K23" s="165" t="s">
        <v>51</v>
      </c>
      <c r="L23" s="167">
        <v>8</v>
      </c>
      <c r="M23" s="167">
        <v>6</v>
      </c>
    </row>
    <row r="24" spans="2:19" s="53" customFormat="1" ht="18" customHeight="1" x14ac:dyDescent="0.2">
      <c r="B24" s="85"/>
      <c r="C24" s="85"/>
      <c r="D24" s="162">
        <v>2017</v>
      </c>
      <c r="E24" s="167">
        <f>SUM(F24:M24)</f>
        <v>40</v>
      </c>
      <c r="F24" s="165">
        <v>2</v>
      </c>
      <c r="G24" s="167">
        <v>11</v>
      </c>
      <c r="H24" s="165" t="s">
        <v>51</v>
      </c>
      <c r="I24" s="167">
        <v>14</v>
      </c>
      <c r="J24" s="167"/>
      <c r="K24" s="165" t="s">
        <v>51</v>
      </c>
      <c r="L24" s="167">
        <v>2</v>
      </c>
      <c r="M24" s="167">
        <v>11</v>
      </c>
    </row>
    <row r="25" spans="2:19" s="53" customFormat="1" ht="18" customHeight="1" x14ac:dyDescent="0.2">
      <c r="B25" s="85"/>
      <c r="C25" s="85"/>
      <c r="D25" s="162">
        <v>2018</v>
      </c>
      <c r="E25" s="167">
        <f>SUM(F25:M25)</f>
        <v>21</v>
      </c>
      <c r="F25" s="53">
        <v>1</v>
      </c>
      <c r="G25" s="53">
        <v>2</v>
      </c>
      <c r="H25" s="328" t="s">
        <v>51</v>
      </c>
      <c r="I25" s="53">
        <v>6</v>
      </c>
      <c r="K25" s="328" t="s">
        <v>51</v>
      </c>
      <c r="L25" s="328" t="s">
        <v>51</v>
      </c>
      <c r="M25" s="53">
        <f>12</f>
        <v>12</v>
      </c>
    </row>
    <row r="26" spans="2:19" s="53" customFormat="1" ht="18" customHeight="1" x14ac:dyDescent="0.2">
      <c r="B26" s="85"/>
      <c r="C26" s="85"/>
      <c r="D26" s="162"/>
      <c r="E26" s="167"/>
      <c r="F26" s="165"/>
      <c r="G26" s="167"/>
      <c r="H26" s="167"/>
      <c r="I26" s="167"/>
      <c r="J26" s="167"/>
      <c r="K26" s="167"/>
      <c r="L26" s="167"/>
      <c r="M26" s="167"/>
    </row>
    <row r="27" spans="2:19" s="53" customFormat="1" ht="18" customHeight="1" x14ac:dyDescent="0.2">
      <c r="B27" s="85" t="s">
        <v>33</v>
      </c>
      <c r="C27" s="85"/>
      <c r="D27" s="162">
        <v>2016</v>
      </c>
      <c r="E27" s="167">
        <f>SUM(F27:M27)</f>
        <v>19</v>
      </c>
      <c r="F27" s="167">
        <v>1</v>
      </c>
      <c r="G27" s="167">
        <v>2</v>
      </c>
      <c r="H27" s="165" t="s">
        <v>51</v>
      </c>
      <c r="I27" s="167">
        <v>6</v>
      </c>
      <c r="J27" s="167"/>
      <c r="K27" s="165" t="s">
        <v>51</v>
      </c>
      <c r="L27" s="165" t="s">
        <v>51</v>
      </c>
      <c r="M27" s="167">
        <v>10</v>
      </c>
    </row>
    <row r="28" spans="2:19" s="53" customFormat="1" ht="18" customHeight="1" x14ac:dyDescent="0.2">
      <c r="B28" s="85"/>
      <c r="C28" s="85"/>
      <c r="D28" s="162">
        <v>2017</v>
      </c>
      <c r="E28" s="167">
        <f>SUM(F28:M28)</f>
        <v>13</v>
      </c>
      <c r="F28" s="165" t="s">
        <v>51</v>
      </c>
      <c r="G28" s="167">
        <v>1</v>
      </c>
      <c r="H28" s="165" t="s">
        <v>51</v>
      </c>
      <c r="I28" s="167">
        <v>2</v>
      </c>
      <c r="J28" s="167"/>
      <c r="K28" s="165" t="s">
        <v>51</v>
      </c>
      <c r="L28" s="165" t="s">
        <v>51</v>
      </c>
      <c r="M28" s="167">
        <v>10</v>
      </c>
    </row>
    <row r="29" spans="2:19" s="53" customFormat="1" ht="18" customHeight="1" x14ac:dyDescent="0.2">
      <c r="B29" s="85"/>
      <c r="C29" s="85"/>
      <c r="D29" s="162">
        <v>2018</v>
      </c>
      <c r="E29" s="167">
        <f>SUM(F29:M29)</f>
        <v>23</v>
      </c>
      <c r="F29" s="379">
        <f>0</f>
        <v>0</v>
      </c>
      <c r="G29" s="167">
        <f>2</f>
        <v>2</v>
      </c>
      <c r="H29" s="328" t="s">
        <v>51</v>
      </c>
      <c r="I29" s="53">
        <v>10</v>
      </c>
      <c r="K29" s="328" t="s">
        <v>51</v>
      </c>
      <c r="L29" s="117">
        <v>1</v>
      </c>
      <c r="M29" s="53">
        <f>10</f>
        <v>10</v>
      </c>
    </row>
    <row r="30" spans="2:19" s="53" customFormat="1" ht="18" customHeight="1" x14ac:dyDescent="0.2">
      <c r="B30" s="85"/>
      <c r="C30" s="85"/>
      <c r="D30" s="162"/>
      <c r="E30" s="167"/>
      <c r="F30" s="167"/>
      <c r="G30" s="167"/>
      <c r="H30" s="167"/>
      <c r="I30" s="167"/>
      <c r="J30" s="167"/>
      <c r="K30" s="167"/>
      <c r="L30" s="167"/>
      <c r="M30" s="167"/>
    </row>
    <row r="31" spans="2:19" s="53" customFormat="1" ht="18" customHeight="1" x14ac:dyDescent="0.2">
      <c r="B31" s="85" t="s">
        <v>34</v>
      </c>
      <c r="C31" s="85"/>
      <c r="D31" s="162">
        <v>2016</v>
      </c>
      <c r="E31" s="167">
        <f>SUM(F31:M31)</f>
        <v>47</v>
      </c>
      <c r="F31" s="165">
        <v>2</v>
      </c>
      <c r="G31" s="167">
        <v>9</v>
      </c>
      <c r="H31" s="165" t="s">
        <v>51</v>
      </c>
      <c r="I31" s="167">
        <v>12</v>
      </c>
      <c r="J31" s="167"/>
      <c r="K31" s="165" t="s">
        <v>51</v>
      </c>
      <c r="L31" s="167">
        <v>3</v>
      </c>
      <c r="M31" s="167">
        <v>21</v>
      </c>
    </row>
    <row r="32" spans="2:19" s="53" customFormat="1" ht="18" customHeight="1" x14ac:dyDescent="0.2">
      <c r="B32" s="85"/>
      <c r="C32" s="85"/>
      <c r="D32" s="162">
        <v>2017</v>
      </c>
      <c r="E32" s="167">
        <f>SUM(F32:M32)</f>
        <v>31</v>
      </c>
      <c r="F32" s="165">
        <v>1</v>
      </c>
      <c r="G32" s="167">
        <v>6</v>
      </c>
      <c r="H32" s="165" t="s">
        <v>51</v>
      </c>
      <c r="I32" s="167">
        <v>10</v>
      </c>
      <c r="J32" s="167"/>
      <c r="K32" s="165" t="s">
        <v>51</v>
      </c>
      <c r="L32" s="165" t="s">
        <v>51</v>
      </c>
      <c r="M32" s="167">
        <v>14</v>
      </c>
    </row>
    <row r="33" spans="2:13" s="53" customFormat="1" ht="18" customHeight="1" x14ac:dyDescent="0.2">
      <c r="B33" s="85"/>
      <c r="C33" s="85"/>
      <c r="D33" s="162">
        <v>2018</v>
      </c>
      <c r="E33" s="167">
        <f>SUM(F33:M33)</f>
        <v>35</v>
      </c>
      <c r="F33" s="53">
        <f>1</f>
        <v>1</v>
      </c>
      <c r="G33" s="53">
        <f>10</f>
        <v>10</v>
      </c>
      <c r="H33" s="328" t="s">
        <v>51</v>
      </c>
      <c r="I33" s="53">
        <v>3</v>
      </c>
      <c r="K33" s="328" t="s">
        <v>51</v>
      </c>
      <c r="L33" s="53">
        <v>4</v>
      </c>
      <c r="M33" s="53">
        <f>17</f>
        <v>17</v>
      </c>
    </row>
    <row r="34" spans="2:13" s="53" customFormat="1" ht="18" customHeight="1" x14ac:dyDescent="0.2">
      <c r="B34" s="85"/>
      <c r="C34" s="85"/>
      <c r="D34" s="162"/>
      <c r="E34" s="167"/>
      <c r="F34" s="165"/>
      <c r="G34" s="167"/>
      <c r="H34" s="167"/>
      <c r="I34" s="167"/>
      <c r="J34" s="167"/>
      <c r="K34" s="167"/>
      <c r="L34" s="167"/>
      <c r="M34" s="167"/>
    </row>
    <row r="35" spans="2:13" s="53" customFormat="1" ht="18" customHeight="1" x14ac:dyDescent="0.2">
      <c r="B35" s="85" t="s">
        <v>36</v>
      </c>
      <c r="C35" s="85"/>
      <c r="D35" s="162">
        <v>2016</v>
      </c>
      <c r="E35" s="167">
        <f>SUM(F35:M35)</f>
        <v>21</v>
      </c>
      <c r="F35" s="167">
        <v>1</v>
      </c>
      <c r="G35" s="167">
        <v>8</v>
      </c>
      <c r="H35" s="165" t="s">
        <v>51</v>
      </c>
      <c r="I35" s="167">
        <v>2</v>
      </c>
      <c r="J35" s="167"/>
      <c r="K35" s="167">
        <v>1</v>
      </c>
      <c r="L35" s="165" t="s">
        <v>51</v>
      </c>
      <c r="M35" s="167">
        <v>9</v>
      </c>
    </row>
    <row r="36" spans="2:13" s="53" customFormat="1" ht="18" customHeight="1" x14ac:dyDescent="0.2">
      <c r="B36" s="85"/>
      <c r="C36" s="85"/>
      <c r="D36" s="162">
        <v>2017</v>
      </c>
      <c r="E36" s="167">
        <f>SUM(F36:M36)</f>
        <v>13</v>
      </c>
      <c r="F36" s="167">
        <v>1</v>
      </c>
      <c r="G36" s="167">
        <v>5</v>
      </c>
      <c r="H36" s="167">
        <v>1</v>
      </c>
      <c r="I36" s="167">
        <v>1</v>
      </c>
      <c r="J36" s="167"/>
      <c r="K36" s="165" t="s">
        <v>51</v>
      </c>
      <c r="L36" s="165" t="s">
        <v>51</v>
      </c>
      <c r="M36" s="167">
        <v>5</v>
      </c>
    </row>
    <row r="37" spans="2:13" s="53" customFormat="1" ht="18" customHeight="1" x14ac:dyDescent="0.2">
      <c r="B37" s="85"/>
      <c r="C37" s="85"/>
      <c r="D37" s="162">
        <v>2018</v>
      </c>
      <c r="E37" s="167">
        <f>SUM(F37:M37)</f>
        <v>13</v>
      </c>
      <c r="F37" s="377">
        <f>0</f>
        <v>0</v>
      </c>
      <c r="G37" s="53">
        <f>4</f>
        <v>4</v>
      </c>
      <c r="H37" s="328" t="s">
        <v>51</v>
      </c>
      <c r="I37" s="53">
        <v>1</v>
      </c>
      <c r="K37" s="328" t="s">
        <v>51</v>
      </c>
      <c r="L37" s="117">
        <v>1</v>
      </c>
      <c r="M37" s="53">
        <f>7</f>
        <v>7</v>
      </c>
    </row>
    <row r="38" spans="2:13" s="53" customFormat="1" ht="18" customHeight="1" x14ac:dyDescent="0.2">
      <c r="B38" s="85"/>
      <c r="C38" s="85"/>
      <c r="D38" s="162"/>
      <c r="E38" s="167"/>
      <c r="F38" s="167"/>
      <c r="G38" s="167"/>
      <c r="H38" s="167"/>
      <c r="I38" s="167"/>
      <c r="J38" s="167"/>
      <c r="K38" s="167"/>
      <c r="L38" s="167"/>
      <c r="M38" s="167"/>
    </row>
    <row r="39" spans="2:13" s="53" customFormat="1" ht="18" customHeight="1" x14ac:dyDescent="0.2">
      <c r="B39" s="85" t="s">
        <v>35</v>
      </c>
      <c r="C39" s="85"/>
      <c r="D39" s="162">
        <v>2016</v>
      </c>
      <c r="E39" s="167">
        <f>SUM(F39:M39)</f>
        <v>257</v>
      </c>
      <c r="F39" s="165">
        <v>5</v>
      </c>
      <c r="G39" s="167">
        <v>43</v>
      </c>
      <c r="H39" s="165" t="s">
        <v>51</v>
      </c>
      <c r="I39" s="167">
        <v>113</v>
      </c>
      <c r="J39" s="167"/>
      <c r="K39" s="165" t="s">
        <v>51</v>
      </c>
      <c r="L39" s="167">
        <v>25</v>
      </c>
      <c r="M39" s="167">
        <v>71</v>
      </c>
    </row>
    <row r="40" spans="2:13" s="53" customFormat="1" ht="18" customHeight="1" x14ac:dyDescent="0.2">
      <c r="B40" s="85"/>
      <c r="C40" s="85"/>
      <c r="D40" s="162">
        <v>2017</v>
      </c>
      <c r="E40" s="167">
        <f>SUM(F40:M40)</f>
        <v>324</v>
      </c>
      <c r="F40" s="165">
        <v>4</v>
      </c>
      <c r="G40" s="167">
        <v>81</v>
      </c>
      <c r="H40" s="165" t="s">
        <v>51</v>
      </c>
      <c r="I40" s="167">
        <v>124</v>
      </c>
      <c r="J40" s="167"/>
      <c r="K40" s="165" t="s">
        <v>51</v>
      </c>
      <c r="L40" s="167">
        <v>61</v>
      </c>
      <c r="M40" s="167">
        <v>54</v>
      </c>
    </row>
    <row r="41" spans="2:13" s="53" customFormat="1" ht="18" customHeight="1" x14ac:dyDescent="0.2">
      <c r="B41" s="85"/>
      <c r="C41" s="85"/>
      <c r="D41" s="162">
        <v>2018</v>
      </c>
      <c r="E41" s="167">
        <f>SUM(F41:M41)</f>
        <v>247</v>
      </c>
      <c r="F41" s="53">
        <f>2</f>
        <v>2</v>
      </c>
      <c r="G41" s="53">
        <f>36</f>
        <v>36</v>
      </c>
      <c r="H41" s="117">
        <v>1</v>
      </c>
      <c r="I41" s="53">
        <v>95</v>
      </c>
      <c r="K41" s="328" t="s">
        <v>51</v>
      </c>
      <c r="L41" s="53">
        <v>54</v>
      </c>
      <c r="M41" s="53">
        <f>59</f>
        <v>59</v>
      </c>
    </row>
    <row r="42" spans="2:13" s="53" customFormat="1" ht="18" customHeight="1" x14ac:dyDescent="0.2">
      <c r="B42" s="85"/>
      <c r="C42" s="85"/>
      <c r="D42" s="162"/>
      <c r="E42" s="167"/>
      <c r="F42" s="165"/>
      <c r="G42" s="167"/>
      <c r="H42" s="167"/>
      <c r="I42" s="167"/>
      <c r="J42" s="167"/>
      <c r="K42" s="167"/>
      <c r="L42" s="167"/>
      <c r="M42" s="167"/>
    </row>
    <row r="43" spans="2:13" s="53" customFormat="1" ht="18" customHeight="1" x14ac:dyDescent="0.2">
      <c r="B43" s="85" t="s">
        <v>41</v>
      </c>
      <c r="C43" s="85"/>
      <c r="D43" s="162">
        <v>2016</v>
      </c>
      <c r="E43" s="167">
        <f>SUM(F43:M43)</f>
        <v>44</v>
      </c>
      <c r="F43" s="167">
        <v>1</v>
      </c>
      <c r="G43" s="167">
        <v>8</v>
      </c>
      <c r="H43" s="165" t="s">
        <v>51</v>
      </c>
      <c r="I43" s="167">
        <v>23</v>
      </c>
      <c r="J43" s="167"/>
      <c r="K43" s="165" t="s">
        <v>51</v>
      </c>
      <c r="L43" s="167">
        <v>2</v>
      </c>
      <c r="M43" s="167">
        <v>10</v>
      </c>
    </row>
    <row r="44" spans="2:13" s="53" customFormat="1" ht="18" customHeight="1" x14ac:dyDescent="0.2">
      <c r="B44" s="85"/>
      <c r="C44" s="85"/>
      <c r="D44" s="162">
        <v>2017</v>
      </c>
      <c r="E44" s="167">
        <f t="shared" ref="E44:E45" si="9">SUM(F44:M44)</f>
        <v>36</v>
      </c>
      <c r="F44" s="165" t="s">
        <v>51</v>
      </c>
      <c r="G44" s="167">
        <v>13</v>
      </c>
      <c r="H44" s="165" t="s">
        <v>51</v>
      </c>
      <c r="I44" s="167">
        <v>7</v>
      </c>
      <c r="J44" s="167"/>
      <c r="K44" s="165" t="s">
        <v>51</v>
      </c>
      <c r="L44" s="167">
        <v>5</v>
      </c>
      <c r="M44" s="167">
        <v>11</v>
      </c>
    </row>
    <row r="45" spans="2:13" s="53" customFormat="1" ht="18" customHeight="1" x14ac:dyDescent="0.2">
      <c r="B45" s="85"/>
      <c r="C45" s="85"/>
      <c r="D45" s="162">
        <v>2018</v>
      </c>
      <c r="E45" s="167">
        <f t="shared" si="9"/>
        <v>35</v>
      </c>
      <c r="F45" s="53">
        <f>2</f>
        <v>2</v>
      </c>
      <c r="G45" s="53">
        <f>15</f>
        <v>15</v>
      </c>
      <c r="H45" s="328" t="s">
        <v>51</v>
      </c>
      <c r="I45" s="53">
        <v>4</v>
      </c>
      <c r="K45" s="328" t="s">
        <v>51</v>
      </c>
      <c r="L45" s="53">
        <v>8</v>
      </c>
      <c r="M45" s="53">
        <f>6</f>
        <v>6</v>
      </c>
    </row>
    <row r="46" spans="2:13" s="53" customFormat="1" ht="18" customHeight="1" x14ac:dyDescent="0.2">
      <c r="B46" s="85"/>
      <c r="C46" s="85"/>
      <c r="D46" s="162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2:13" s="53" customFormat="1" ht="18" customHeight="1" x14ac:dyDescent="0.2">
      <c r="B47" s="85" t="s">
        <v>37</v>
      </c>
      <c r="C47" s="85"/>
      <c r="D47" s="162">
        <v>2016</v>
      </c>
      <c r="E47" s="167">
        <f>SUM(F47:M47)</f>
        <v>19</v>
      </c>
      <c r="F47" s="165">
        <v>1</v>
      </c>
      <c r="G47" s="167">
        <v>8</v>
      </c>
      <c r="H47" s="165" t="s">
        <v>51</v>
      </c>
      <c r="I47" s="167">
        <v>2</v>
      </c>
      <c r="J47" s="167"/>
      <c r="K47" s="165" t="s">
        <v>51</v>
      </c>
      <c r="L47" s="167">
        <v>3</v>
      </c>
      <c r="M47" s="167">
        <v>5</v>
      </c>
    </row>
    <row r="48" spans="2:13" s="53" customFormat="1" ht="18" customHeight="1" x14ac:dyDescent="0.2">
      <c r="B48" s="85"/>
      <c r="C48" s="85"/>
      <c r="D48" s="162">
        <v>2017</v>
      </c>
      <c r="E48" s="167">
        <f t="shared" ref="E48:E49" si="10">SUM(F48:M48)</f>
        <v>33</v>
      </c>
      <c r="F48" s="165" t="s">
        <v>51</v>
      </c>
      <c r="G48" s="167">
        <v>13</v>
      </c>
      <c r="H48" s="165" t="s">
        <v>51</v>
      </c>
      <c r="I48" s="167">
        <v>9</v>
      </c>
      <c r="J48" s="167"/>
      <c r="K48" s="165" t="s">
        <v>51</v>
      </c>
      <c r="L48" s="165" t="s">
        <v>51</v>
      </c>
      <c r="M48" s="167">
        <v>11</v>
      </c>
    </row>
    <row r="49" spans="1:14" s="53" customFormat="1" ht="18" customHeight="1" x14ac:dyDescent="0.2">
      <c r="B49" s="85"/>
      <c r="C49" s="85"/>
      <c r="D49" s="162">
        <v>2018</v>
      </c>
      <c r="E49" s="167">
        <f t="shared" si="10"/>
        <v>27</v>
      </c>
      <c r="F49" s="377">
        <f>0</f>
        <v>0</v>
      </c>
      <c r="G49" s="53">
        <f>4</f>
        <v>4</v>
      </c>
      <c r="H49" s="328" t="s">
        <v>51</v>
      </c>
      <c r="I49" s="53">
        <v>7</v>
      </c>
      <c r="K49" s="328" t="s">
        <v>51</v>
      </c>
      <c r="L49" s="53">
        <v>2</v>
      </c>
      <c r="M49" s="53">
        <f>14</f>
        <v>14</v>
      </c>
    </row>
    <row r="50" spans="1:14" s="53" customFormat="1" ht="18" customHeight="1" x14ac:dyDescent="0.2">
      <c r="B50" s="85"/>
      <c r="C50" s="85"/>
      <c r="D50" s="162"/>
      <c r="E50" s="167"/>
      <c r="F50" s="167"/>
      <c r="G50" s="167"/>
      <c r="H50" s="167"/>
      <c r="I50" s="167"/>
      <c r="J50" s="167"/>
      <c r="K50" s="167"/>
      <c r="L50" s="167"/>
      <c r="M50" s="167"/>
    </row>
    <row r="51" spans="1:14" s="53" customFormat="1" ht="18" customHeight="1" x14ac:dyDescent="0.2">
      <c r="B51" s="85" t="s">
        <v>38</v>
      </c>
      <c r="C51" s="85"/>
      <c r="D51" s="162">
        <v>2016</v>
      </c>
      <c r="E51" s="167">
        <f>SUM(F51:M51)</f>
        <v>23</v>
      </c>
      <c r="F51" s="167">
        <v>2</v>
      </c>
      <c r="G51" s="167">
        <v>7</v>
      </c>
      <c r="H51" s="165" t="s">
        <v>51</v>
      </c>
      <c r="I51" s="167">
        <v>1</v>
      </c>
      <c r="J51" s="167"/>
      <c r="K51" s="165" t="s">
        <v>51</v>
      </c>
      <c r="L51" s="167">
        <v>1</v>
      </c>
      <c r="M51" s="167">
        <v>12</v>
      </c>
    </row>
    <row r="52" spans="1:14" s="53" customFormat="1" ht="18" customHeight="1" x14ac:dyDescent="0.2">
      <c r="B52" s="85"/>
      <c r="C52" s="85"/>
      <c r="D52" s="162">
        <v>2017</v>
      </c>
      <c r="E52" s="167">
        <f t="shared" ref="E52:E53" si="11">SUM(F52:M52)</f>
        <v>22</v>
      </c>
      <c r="F52" s="167">
        <v>2</v>
      </c>
      <c r="G52" s="167">
        <v>6</v>
      </c>
      <c r="H52" s="165" t="s">
        <v>51</v>
      </c>
      <c r="I52" s="165" t="s">
        <v>51</v>
      </c>
      <c r="J52" s="167"/>
      <c r="K52" s="165" t="s">
        <v>51</v>
      </c>
      <c r="L52" s="165">
        <v>2</v>
      </c>
      <c r="M52" s="167">
        <v>12</v>
      </c>
    </row>
    <row r="53" spans="1:14" s="53" customFormat="1" ht="18" customHeight="1" x14ac:dyDescent="0.2">
      <c r="B53" s="85"/>
      <c r="C53" s="85"/>
      <c r="D53" s="162">
        <v>2018</v>
      </c>
      <c r="E53" s="167">
        <f t="shared" si="11"/>
        <v>26</v>
      </c>
      <c r="F53" s="377">
        <f>0</f>
        <v>0</v>
      </c>
      <c r="G53" s="53">
        <f>8</f>
        <v>8</v>
      </c>
      <c r="H53" s="328" t="s">
        <v>51</v>
      </c>
      <c r="I53" s="53">
        <v>1</v>
      </c>
      <c r="K53" s="328" t="s">
        <v>51</v>
      </c>
      <c r="L53" s="53">
        <v>4</v>
      </c>
      <c r="M53" s="53">
        <f>13</f>
        <v>13</v>
      </c>
    </row>
    <row r="54" spans="1:14" s="53" customFormat="1" ht="18" customHeight="1" x14ac:dyDescent="0.2">
      <c r="B54" s="85"/>
      <c r="C54" s="85"/>
      <c r="D54" s="162"/>
      <c r="E54" s="167"/>
      <c r="F54" s="167"/>
      <c r="G54" s="167"/>
      <c r="H54" s="167"/>
      <c r="I54" s="167"/>
      <c r="J54" s="167"/>
      <c r="K54" s="167"/>
      <c r="L54" s="167"/>
      <c r="M54" s="167"/>
    </row>
    <row r="55" spans="1:14" s="53" customFormat="1" ht="18" customHeight="1" x14ac:dyDescent="0.2">
      <c r="B55" s="85" t="s">
        <v>40</v>
      </c>
      <c r="C55" s="85"/>
      <c r="D55" s="162">
        <v>2016</v>
      </c>
      <c r="E55" s="167">
        <f>SUM(F55:M55)</f>
        <v>44</v>
      </c>
      <c r="F55" s="165" t="s">
        <v>51</v>
      </c>
      <c r="G55" s="167">
        <v>19</v>
      </c>
      <c r="H55" s="165" t="s">
        <v>51</v>
      </c>
      <c r="I55" s="167">
        <v>7</v>
      </c>
      <c r="J55" s="167"/>
      <c r="K55" s="165" t="s">
        <v>51</v>
      </c>
      <c r="L55" s="167">
        <v>3</v>
      </c>
      <c r="M55" s="167">
        <v>15</v>
      </c>
    </row>
    <row r="56" spans="1:14" s="53" customFormat="1" ht="18" customHeight="1" x14ac:dyDescent="0.2">
      <c r="B56" s="85"/>
      <c r="C56" s="85"/>
      <c r="D56" s="162">
        <v>2017</v>
      </c>
      <c r="E56" s="167">
        <f t="shared" ref="E56:E57" si="12">SUM(F56:M56)</f>
        <v>42</v>
      </c>
      <c r="F56" s="165">
        <v>2</v>
      </c>
      <c r="G56" s="167">
        <v>12</v>
      </c>
      <c r="H56" s="165" t="s">
        <v>51</v>
      </c>
      <c r="I56" s="167">
        <v>6</v>
      </c>
      <c r="J56" s="167"/>
      <c r="K56" s="165" t="s">
        <v>51</v>
      </c>
      <c r="L56" s="165">
        <v>4</v>
      </c>
      <c r="M56" s="167">
        <v>18</v>
      </c>
    </row>
    <row r="57" spans="1:14" s="53" customFormat="1" ht="18" customHeight="1" x14ac:dyDescent="0.2">
      <c r="B57" s="85"/>
      <c r="C57" s="85"/>
      <c r="D57" s="162">
        <v>2018</v>
      </c>
      <c r="E57" s="167">
        <f t="shared" si="12"/>
        <v>37</v>
      </c>
      <c r="F57" s="377">
        <f>0</f>
        <v>0</v>
      </c>
      <c r="G57" s="53">
        <f>13</f>
        <v>13</v>
      </c>
      <c r="H57" s="53">
        <v>1</v>
      </c>
      <c r="I57" s="53">
        <v>7</v>
      </c>
      <c r="K57" s="328" t="s">
        <v>51</v>
      </c>
      <c r="L57" s="53">
        <v>4</v>
      </c>
      <c r="M57" s="53">
        <f>12</f>
        <v>12</v>
      </c>
    </row>
    <row r="58" spans="1:14" s="53" customFormat="1" ht="18" customHeight="1" x14ac:dyDescent="0.2">
      <c r="B58" s="85"/>
      <c r="C58" s="85"/>
      <c r="D58" s="162"/>
      <c r="E58" s="167"/>
      <c r="F58" s="165"/>
      <c r="G58" s="167"/>
      <c r="H58" s="167"/>
      <c r="I58" s="167"/>
      <c r="J58" s="167"/>
      <c r="K58" s="167"/>
      <c r="L58" s="167"/>
      <c r="M58" s="167"/>
    </row>
    <row r="59" spans="1:14" s="53" customFormat="1" ht="18" customHeight="1" x14ac:dyDescent="0.2">
      <c r="B59" s="85" t="s">
        <v>39</v>
      </c>
      <c r="C59" s="85"/>
      <c r="D59" s="162">
        <v>2016</v>
      </c>
      <c r="E59" s="167">
        <f>SUM(F59:M59)</f>
        <v>79</v>
      </c>
      <c r="F59" s="167" t="s">
        <v>51</v>
      </c>
      <c r="G59" s="167">
        <v>18</v>
      </c>
      <c r="H59" s="165" t="s">
        <v>51</v>
      </c>
      <c r="I59" s="167">
        <v>39</v>
      </c>
      <c r="J59" s="167"/>
      <c r="K59" s="165" t="s">
        <v>51</v>
      </c>
      <c r="L59" s="167">
        <v>5</v>
      </c>
      <c r="M59" s="167">
        <v>17</v>
      </c>
    </row>
    <row r="60" spans="1:14" s="53" customFormat="1" ht="18" customHeight="1" x14ac:dyDescent="0.2">
      <c r="B60" s="85"/>
      <c r="C60" s="85"/>
      <c r="D60" s="162">
        <v>2017</v>
      </c>
      <c r="E60" s="167">
        <f t="shared" ref="E60:E61" si="13">SUM(F60:M60)</f>
        <v>55</v>
      </c>
      <c r="F60" s="167">
        <v>2</v>
      </c>
      <c r="G60" s="167">
        <v>8</v>
      </c>
      <c r="H60" s="165" t="s">
        <v>51</v>
      </c>
      <c r="I60" s="167">
        <v>22</v>
      </c>
      <c r="J60" s="167"/>
      <c r="K60" s="165" t="s">
        <v>51</v>
      </c>
      <c r="L60" s="167">
        <v>5</v>
      </c>
      <c r="M60" s="167">
        <v>18</v>
      </c>
    </row>
    <row r="61" spans="1:14" s="53" customFormat="1" ht="18" customHeight="1" x14ac:dyDescent="0.2">
      <c r="B61" s="85"/>
      <c r="C61" s="85"/>
      <c r="D61" s="162">
        <v>2018</v>
      </c>
      <c r="E61" s="167">
        <f t="shared" si="13"/>
        <v>53</v>
      </c>
      <c r="F61" s="53">
        <f>1</f>
        <v>1</v>
      </c>
      <c r="G61" s="53">
        <f>10</f>
        <v>10</v>
      </c>
      <c r="H61" s="328" t="s">
        <v>51</v>
      </c>
      <c r="I61" s="53">
        <v>18</v>
      </c>
      <c r="K61" s="328" t="s">
        <v>51</v>
      </c>
      <c r="L61" s="53">
        <v>5</v>
      </c>
      <c r="M61" s="53">
        <f>19</f>
        <v>19</v>
      </c>
    </row>
    <row r="62" spans="1:14" s="53" customFormat="1" ht="8.1" customHeight="1" thickBot="1" x14ac:dyDescent="0.25">
      <c r="A62" s="219"/>
      <c r="B62" s="220"/>
      <c r="C62" s="220"/>
      <c r="D62" s="220"/>
      <c r="E62" s="221"/>
      <c r="F62" s="222"/>
      <c r="G62" s="222"/>
      <c r="H62" s="222"/>
      <c r="I62" s="222"/>
      <c r="J62" s="222"/>
      <c r="K62" s="222"/>
      <c r="L62" s="222"/>
      <c r="M62" s="223"/>
      <c r="N62" s="219"/>
    </row>
    <row r="63" spans="1:14" s="53" customFormat="1" ht="12.75" x14ac:dyDescent="0.2">
      <c r="B63" s="118"/>
      <c r="C63" s="118"/>
      <c r="D63" s="118"/>
      <c r="E63" s="66"/>
      <c r="F63" s="117"/>
      <c r="G63" s="117"/>
      <c r="H63" s="117"/>
      <c r="I63" s="117"/>
      <c r="J63" s="117"/>
      <c r="K63" s="117"/>
      <c r="L63" s="117"/>
      <c r="M63" s="213"/>
      <c r="N63" s="8" t="s">
        <v>101</v>
      </c>
    </row>
    <row r="64" spans="1:14" s="53" customFormat="1" ht="12.75" x14ac:dyDescent="0.2">
      <c r="B64" s="118"/>
      <c r="C64" s="118"/>
      <c r="D64" s="118"/>
      <c r="E64" s="66"/>
      <c r="F64" s="117"/>
      <c r="G64" s="117"/>
      <c r="H64" s="117"/>
      <c r="I64" s="117"/>
      <c r="J64" s="117"/>
      <c r="K64" s="117"/>
      <c r="L64" s="117"/>
      <c r="M64" s="213"/>
      <c r="N64" s="41" t="s">
        <v>1</v>
      </c>
    </row>
  </sheetData>
  <mergeCells count="4">
    <mergeCell ref="B11:C11"/>
    <mergeCell ref="H11:I11"/>
    <mergeCell ref="K11:L11"/>
    <mergeCell ref="B12:C12"/>
  </mergeCells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1"/>
  <sheetViews>
    <sheetView showGridLines="0" tabSelected="1" topLeftCell="A5" zoomScaleNormal="100" zoomScaleSheetLayoutView="100" workbookViewId="0">
      <selection activeCell="J23" sqref="J23"/>
    </sheetView>
  </sheetViews>
  <sheetFormatPr defaultRowHeight="15" x14ac:dyDescent="0.25"/>
  <cols>
    <col min="1" max="1" width="1.28515625" style="234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234" customWidth="1"/>
    <col min="14" max="14" width="1" style="2" customWidth="1"/>
    <col min="15" max="16384" width="9.140625" style="2"/>
  </cols>
  <sheetData>
    <row r="1" spans="1:14" ht="9.9499999999999993" customHeight="1" x14ac:dyDescent="0.25">
      <c r="A1" s="2"/>
      <c r="B1" s="3" t="s">
        <v>203</v>
      </c>
      <c r="M1" s="5"/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53" customFormat="1" ht="15.6" customHeight="1" x14ac:dyDescent="0.2">
      <c r="A15" s="233"/>
      <c r="B15" s="127" t="s">
        <v>176</v>
      </c>
      <c r="C15" s="127"/>
      <c r="D15" s="65">
        <v>2016</v>
      </c>
      <c r="E15" s="166">
        <v>1295</v>
      </c>
      <c r="F15" s="166">
        <f>SUM(F19,F23,F27,F31,F35,F39,F43,F47,F51,F55,F59,F63,F67,F71,F75)</f>
        <v>42</v>
      </c>
      <c r="G15" s="166">
        <f>SUM(G19,G23,G27,G31,G35,G39,G43,G47,G51,G55,G59,G63,G67,G71,G75)</f>
        <v>96</v>
      </c>
      <c r="H15" s="166">
        <f t="shared" ref="H15:I15" si="0">SUM(H19,H23,H27,H31,H35,H39,H43,H47,H51,H55,H59,H63,H67,H71,H75)</f>
        <v>8</v>
      </c>
      <c r="I15" s="166">
        <f t="shared" si="0"/>
        <v>539</v>
      </c>
      <c r="J15" s="166"/>
      <c r="K15" s="166">
        <f t="shared" ref="K15:L15" si="1">SUM(K19,K23,K27,K31,K35,K39,K43,K47,K51,K55,K59,K63,K67,K71,K75)</f>
        <v>1</v>
      </c>
      <c r="L15" s="166">
        <f t="shared" si="1"/>
        <v>197</v>
      </c>
      <c r="M15" s="166">
        <f>SUM(M19,M23,M27,M31,M35,M39,M43,M47,M51,M55,M59,M63,M67,M71,M75)</f>
        <v>412</v>
      </c>
    </row>
    <row r="16" spans="1:14" s="53" customFormat="1" ht="15.6" customHeight="1" x14ac:dyDescent="0.2">
      <c r="A16" s="233"/>
      <c r="B16" s="127"/>
      <c r="C16" s="127"/>
      <c r="D16" s="65">
        <v>2017</v>
      </c>
      <c r="E16" s="166">
        <v>1140</v>
      </c>
      <c r="F16" s="166">
        <f t="shared" ref="F16:G17" si="2">SUM(F20,F24,F28,F32,F36,F40,F44,F48,F52,F56,F60,F64,F68,F72,F76)</f>
        <v>35</v>
      </c>
      <c r="G16" s="166">
        <f t="shared" si="2"/>
        <v>95</v>
      </c>
      <c r="H16" s="166">
        <f t="shared" ref="H16:I16" si="3">SUM(H20,H24,H28,H32,H36,H40,H44,H48,H52,H56,H60,H64,H68,H72,H76)</f>
        <v>4</v>
      </c>
      <c r="I16" s="166">
        <f t="shared" si="3"/>
        <v>426</v>
      </c>
      <c r="J16" s="166"/>
      <c r="K16" s="143" t="s">
        <v>51</v>
      </c>
      <c r="L16" s="166">
        <f t="shared" ref="L16:M16" si="4">SUM(L20,L24,L28,L32,L36,L40,L44,L48,L52,L56,L60,L64,L68,L72,L76)</f>
        <v>200</v>
      </c>
      <c r="M16" s="166">
        <f t="shared" si="4"/>
        <v>380</v>
      </c>
    </row>
    <row r="17" spans="1:13" s="53" customFormat="1" ht="15.6" customHeight="1" x14ac:dyDescent="0.2">
      <c r="A17" s="233"/>
      <c r="B17" s="127"/>
      <c r="C17" s="127"/>
      <c r="D17" s="65">
        <v>2018</v>
      </c>
      <c r="E17" s="166">
        <v>1005</v>
      </c>
      <c r="F17" s="166">
        <f t="shared" si="2"/>
        <v>33</v>
      </c>
      <c r="G17" s="166">
        <f t="shared" si="2"/>
        <v>104</v>
      </c>
      <c r="H17" s="166">
        <f t="shared" ref="H17:I17" si="5">SUM(H21,H25,H29,H33,H37,H41,H45,H49,H53,H57,H61,H65,H69,H73,H77)</f>
        <v>1</v>
      </c>
      <c r="I17" s="166">
        <f t="shared" si="5"/>
        <v>365</v>
      </c>
      <c r="J17" s="166"/>
      <c r="K17" s="166">
        <f t="shared" ref="K17:M17" si="6">SUM(K21,K25,K29,K33,K37,K41,K45,K49,K53,K57,K61,K65,K69,K73,K77)</f>
        <v>2</v>
      </c>
      <c r="L17" s="166">
        <f t="shared" si="6"/>
        <v>142</v>
      </c>
      <c r="M17" s="166">
        <f t="shared" si="6"/>
        <v>358</v>
      </c>
    </row>
    <row r="18" spans="1:13" s="53" customFormat="1" ht="6" customHeight="1" x14ac:dyDescent="0.2">
      <c r="A18" s="233"/>
      <c r="B18" s="127"/>
      <c r="C18" s="127"/>
      <c r="D18" s="65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1:13" s="53" customFormat="1" ht="15.6" customHeight="1" x14ac:dyDescent="0.2">
      <c r="A19" s="86"/>
      <c r="B19" s="85" t="s">
        <v>69</v>
      </c>
      <c r="C19" s="85"/>
      <c r="D19" s="162">
        <v>2016</v>
      </c>
      <c r="E19" s="167">
        <v>28</v>
      </c>
      <c r="F19" s="167">
        <v>2</v>
      </c>
      <c r="G19" s="167">
        <v>2</v>
      </c>
      <c r="H19" s="165" t="s">
        <v>51</v>
      </c>
      <c r="I19" s="167">
        <v>15</v>
      </c>
      <c r="J19" s="167"/>
      <c r="K19" s="165" t="s">
        <v>51</v>
      </c>
      <c r="L19" s="167">
        <v>5</v>
      </c>
      <c r="M19" s="167">
        <v>4</v>
      </c>
    </row>
    <row r="20" spans="1:13" s="53" customFormat="1" ht="15.6" customHeight="1" x14ac:dyDescent="0.2">
      <c r="A20" s="86"/>
      <c r="B20" s="85"/>
      <c r="C20" s="85"/>
      <c r="D20" s="162">
        <v>2017</v>
      </c>
      <c r="E20" s="167">
        <v>23</v>
      </c>
      <c r="F20" s="167">
        <v>1</v>
      </c>
      <c r="G20" s="167">
        <v>3</v>
      </c>
      <c r="H20" s="165" t="s">
        <v>51</v>
      </c>
      <c r="I20" s="167">
        <v>9</v>
      </c>
      <c r="J20" s="167"/>
      <c r="K20" s="165" t="s">
        <v>51</v>
      </c>
      <c r="L20" s="167">
        <v>3</v>
      </c>
      <c r="M20" s="167">
        <v>7</v>
      </c>
    </row>
    <row r="21" spans="1:13" s="53" customFormat="1" ht="15.6" customHeight="1" x14ac:dyDescent="0.2">
      <c r="A21" s="86"/>
      <c r="B21" s="85"/>
      <c r="C21" s="85"/>
      <c r="D21" s="162">
        <v>2018</v>
      </c>
      <c r="E21" s="167">
        <v>17</v>
      </c>
      <c r="F21" s="167">
        <v>1</v>
      </c>
      <c r="G21" s="167">
        <v>2</v>
      </c>
      <c r="H21" s="165" t="s">
        <v>51</v>
      </c>
      <c r="I21" s="167">
        <v>5</v>
      </c>
      <c r="J21" s="167"/>
      <c r="K21" s="165" t="s">
        <v>51</v>
      </c>
      <c r="L21" s="167">
        <v>1</v>
      </c>
      <c r="M21" s="167">
        <v>8</v>
      </c>
    </row>
    <row r="22" spans="1:13" s="53" customFormat="1" ht="6" customHeight="1" x14ac:dyDescent="0.2">
      <c r="A22" s="86"/>
      <c r="B22" s="85"/>
      <c r="C22" s="85"/>
      <c r="D22" s="162"/>
      <c r="E22" s="167"/>
      <c r="F22" s="167"/>
      <c r="G22" s="167"/>
      <c r="H22" s="167"/>
      <c r="I22" s="167"/>
      <c r="J22" s="167"/>
      <c r="K22" s="167"/>
      <c r="L22" s="167"/>
      <c r="M22" s="167"/>
    </row>
    <row r="23" spans="1:13" s="53" customFormat="1" ht="15.6" customHeight="1" x14ac:dyDescent="0.2">
      <c r="A23" s="86"/>
      <c r="B23" s="85" t="s">
        <v>70</v>
      </c>
      <c r="C23" s="85"/>
      <c r="D23" s="162">
        <v>2016</v>
      </c>
      <c r="E23" s="167">
        <v>15</v>
      </c>
      <c r="F23" s="167">
        <v>1</v>
      </c>
      <c r="G23" s="167">
        <v>5</v>
      </c>
      <c r="H23" s="165" t="s">
        <v>51</v>
      </c>
      <c r="I23" s="167">
        <v>2</v>
      </c>
      <c r="J23" s="167"/>
      <c r="K23" s="165" t="s">
        <v>51</v>
      </c>
      <c r="L23" s="167">
        <v>1</v>
      </c>
      <c r="M23" s="167">
        <v>6</v>
      </c>
    </row>
    <row r="24" spans="1:13" s="53" customFormat="1" ht="15.6" customHeight="1" x14ac:dyDescent="0.2">
      <c r="A24" s="86"/>
      <c r="B24" s="85"/>
      <c r="C24" s="85"/>
      <c r="D24" s="162">
        <v>2017</v>
      </c>
      <c r="E24" s="167">
        <v>16</v>
      </c>
      <c r="F24" s="167">
        <v>2</v>
      </c>
      <c r="G24" s="167">
        <v>5</v>
      </c>
      <c r="H24" s="165" t="s">
        <v>51</v>
      </c>
      <c r="I24" s="167">
        <v>1</v>
      </c>
      <c r="J24" s="167"/>
      <c r="K24" s="165" t="s">
        <v>51</v>
      </c>
      <c r="L24" s="167">
        <v>2</v>
      </c>
      <c r="M24" s="167">
        <v>6</v>
      </c>
    </row>
    <row r="25" spans="1:13" s="53" customFormat="1" ht="15.6" customHeight="1" x14ac:dyDescent="0.2">
      <c r="A25" s="86"/>
      <c r="B25" s="85"/>
      <c r="C25" s="85"/>
      <c r="D25" s="162">
        <v>2018</v>
      </c>
      <c r="E25" s="167">
        <v>15</v>
      </c>
      <c r="F25" s="167">
        <v>3</v>
      </c>
      <c r="G25" s="167">
        <v>5</v>
      </c>
      <c r="H25" s="165" t="s">
        <v>51</v>
      </c>
      <c r="I25" s="167">
        <v>3</v>
      </c>
      <c r="J25" s="167"/>
      <c r="K25" s="165" t="s">
        <v>51</v>
      </c>
      <c r="L25" s="165" t="s">
        <v>51</v>
      </c>
      <c r="M25" s="167">
        <v>4</v>
      </c>
    </row>
    <row r="26" spans="1:13" s="53" customFormat="1" ht="8.1" customHeight="1" x14ac:dyDescent="0.2">
      <c r="A26" s="86"/>
      <c r="B26" s="85"/>
      <c r="C26" s="85"/>
      <c r="D26" s="162"/>
      <c r="E26" s="167"/>
      <c r="F26" s="167"/>
      <c r="G26" s="167"/>
      <c r="H26" s="167"/>
      <c r="I26" s="167"/>
      <c r="J26" s="167"/>
      <c r="K26" s="167"/>
      <c r="L26" s="167"/>
      <c r="M26" s="167"/>
    </row>
    <row r="27" spans="1:13" s="118" customFormat="1" ht="15.6" customHeight="1" x14ac:dyDescent="0.2">
      <c r="A27" s="86"/>
      <c r="B27" s="85" t="s">
        <v>46</v>
      </c>
      <c r="C27" s="85"/>
      <c r="D27" s="162">
        <v>2016</v>
      </c>
      <c r="E27" s="167">
        <v>140</v>
      </c>
      <c r="F27" s="167">
        <v>6</v>
      </c>
      <c r="G27" s="167">
        <v>12</v>
      </c>
      <c r="H27" s="165" t="s">
        <v>51</v>
      </c>
      <c r="I27" s="167">
        <v>40</v>
      </c>
      <c r="J27" s="167"/>
      <c r="K27" s="165" t="s">
        <v>51</v>
      </c>
      <c r="L27" s="167">
        <v>16</v>
      </c>
      <c r="M27" s="167">
        <v>65</v>
      </c>
    </row>
    <row r="28" spans="1:13" s="53" customFormat="1" ht="15.6" customHeight="1" x14ac:dyDescent="0.2">
      <c r="A28" s="86"/>
      <c r="B28" s="85"/>
      <c r="C28" s="85"/>
      <c r="D28" s="162">
        <v>2017</v>
      </c>
      <c r="E28" s="167">
        <v>128</v>
      </c>
      <c r="F28" s="167">
        <v>5</v>
      </c>
      <c r="G28" s="167">
        <v>7</v>
      </c>
      <c r="H28" s="167">
        <v>1</v>
      </c>
      <c r="I28" s="167">
        <v>32</v>
      </c>
      <c r="J28" s="167"/>
      <c r="K28" s="165" t="s">
        <v>51</v>
      </c>
      <c r="L28" s="167">
        <v>16</v>
      </c>
      <c r="M28" s="167">
        <v>67</v>
      </c>
    </row>
    <row r="29" spans="1:13" s="53" customFormat="1" ht="15.6" customHeight="1" x14ac:dyDescent="0.2">
      <c r="A29" s="86"/>
      <c r="B29" s="85"/>
      <c r="C29" s="85"/>
      <c r="D29" s="162">
        <v>2018</v>
      </c>
      <c r="E29" s="167">
        <v>113</v>
      </c>
      <c r="F29" s="167">
        <v>6</v>
      </c>
      <c r="G29" s="167">
        <v>5</v>
      </c>
      <c r="H29" s="167">
        <v>1</v>
      </c>
      <c r="I29" s="167">
        <v>27</v>
      </c>
      <c r="J29" s="167"/>
      <c r="K29" s="165" t="s">
        <v>51</v>
      </c>
      <c r="L29" s="167">
        <v>14</v>
      </c>
      <c r="M29" s="167">
        <v>60</v>
      </c>
    </row>
    <row r="30" spans="1:13" s="53" customFormat="1" ht="8.1" customHeight="1" x14ac:dyDescent="0.2">
      <c r="A30" s="86"/>
      <c r="B30" s="85"/>
      <c r="C30" s="85"/>
      <c r="D30" s="162"/>
      <c r="E30" s="167"/>
      <c r="F30" s="167"/>
      <c r="G30" s="167"/>
      <c r="H30" s="167"/>
      <c r="I30" s="167"/>
      <c r="J30" s="167"/>
      <c r="K30" s="167"/>
      <c r="L30" s="167"/>
      <c r="M30" s="167"/>
    </row>
    <row r="31" spans="1:13" s="53" customFormat="1" ht="15.6" customHeight="1" x14ac:dyDescent="0.2">
      <c r="A31" s="86"/>
      <c r="B31" s="85" t="s">
        <v>71</v>
      </c>
      <c r="C31" s="85"/>
      <c r="D31" s="162">
        <v>2016</v>
      </c>
      <c r="E31" s="167">
        <v>508</v>
      </c>
      <c r="F31" s="167">
        <v>13</v>
      </c>
      <c r="G31" s="167">
        <v>14</v>
      </c>
      <c r="H31" s="167">
        <v>2</v>
      </c>
      <c r="I31" s="167">
        <v>252</v>
      </c>
      <c r="J31" s="167"/>
      <c r="K31" s="165" t="s">
        <v>51</v>
      </c>
      <c r="L31" s="167">
        <v>109</v>
      </c>
      <c r="M31" s="167">
        <v>120</v>
      </c>
    </row>
    <row r="32" spans="1:13" s="53" customFormat="1" ht="15.6" customHeight="1" x14ac:dyDescent="0.2">
      <c r="A32" s="86"/>
      <c r="B32" s="85"/>
      <c r="C32" s="85"/>
      <c r="D32" s="162">
        <v>2017</v>
      </c>
      <c r="E32" s="167">
        <v>450</v>
      </c>
      <c r="F32" s="167">
        <v>9</v>
      </c>
      <c r="G32" s="167">
        <v>13</v>
      </c>
      <c r="H32" s="165" t="s">
        <v>51</v>
      </c>
      <c r="I32" s="167">
        <v>206</v>
      </c>
      <c r="J32" s="167"/>
      <c r="K32" s="165" t="s">
        <v>51</v>
      </c>
      <c r="L32" s="167">
        <v>101</v>
      </c>
      <c r="M32" s="167">
        <v>121</v>
      </c>
    </row>
    <row r="33" spans="1:13" s="53" customFormat="1" ht="15.6" customHeight="1" x14ac:dyDescent="0.2">
      <c r="A33" s="86"/>
      <c r="B33" s="85"/>
      <c r="C33" s="85"/>
      <c r="D33" s="162">
        <v>2018</v>
      </c>
      <c r="E33" s="167">
        <v>377</v>
      </c>
      <c r="F33" s="167">
        <v>6</v>
      </c>
      <c r="G33" s="167">
        <v>24</v>
      </c>
      <c r="H33" s="165" t="s">
        <v>51</v>
      </c>
      <c r="I33" s="167">
        <v>172</v>
      </c>
      <c r="J33" s="167"/>
      <c r="K33" s="167">
        <v>2</v>
      </c>
      <c r="L33" s="167">
        <v>69</v>
      </c>
      <c r="M33" s="167">
        <v>104</v>
      </c>
    </row>
    <row r="34" spans="1:13" s="53" customFormat="1" ht="8.1" customHeight="1" x14ac:dyDescent="0.2">
      <c r="A34" s="86"/>
      <c r="B34" s="85"/>
      <c r="C34" s="85"/>
      <c r="D34" s="162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13" s="53" customFormat="1" ht="15.6" customHeight="1" x14ac:dyDescent="0.2">
      <c r="A35" s="86"/>
      <c r="B35" s="85" t="s">
        <v>48</v>
      </c>
      <c r="C35" s="85"/>
      <c r="D35" s="162">
        <v>2016</v>
      </c>
      <c r="E35" s="167">
        <v>41</v>
      </c>
      <c r="F35" s="167">
        <v>1</v>
      </c>
      <c r="G35" s="167">
        <v>2</v>
      </c>
      <c r="H35" s="167">
        <v>1</v>
      </c>
      <c r="I35" s="167">
        <v>18</v>
      </c>
      <c r="J35" s="167"/>
      <c r="K35" s="165" t="s">
        <v>51</v>
      </c>
      <c r="L35" s="167">
        <v>8</v>
      </c>
      <c r="M35" s="167">
        <v>11</v>
      </c>
    </row>
    <row r="36" spans="1:13" s="53" customFormat="1" ht="15.6" customHeight="1" x14ac:dyDescent="0.2">
      <c r="A36" s="86"/>
      <c r="B36" s="85"/>
      <c r="C36" s="85"/>
      <c r="D36" s="162">
        <v>2017</v>
      </c>
      <c r="E36" s="167">
        <v>36</v>
      </c>
      <c r="F36" s="167">
        <v>2</v>
      </c>
      <c r="G36" s="167">
        <v>3</v>
      </c>
      <c r="H36" s="165" t="s">
        <v>51</v>
      </c>
      <c r="I36" s="167">
        <v>16</v>
      </c>
      <c r="J36" s="167"/>
      <c r="K36" s="165" t="s">
        <v>51</v>
      </c>
      <c r="L36" s="167">
        <v>6</v>
      </c>
      <c r="M36" s="167">
        <v>9</v>
      </c>
    </row>
    <row r="37" spans="1:13" s="53" customFormat="1" ht="15.6" customHeight="1" x14ac:dyDescent="0.2">
      <c r="A37" s="86"/>
      <c r="B37" s="85"/>
      <c r="C37" s="85"/>
      <c r="D37" s="162">
        <v>2018</v>
      </c>
      <c r="E37" s="167">
        <v>32</v>
      </c>
      <c r="F37" s="167" t="s">
        <v>51</v>
      </c>
      <c r="G37" s="167">
        <v>1</v>
      </c>
      <c r="H37" s="165" t="s">
        <v>51</v>
      </c>
      <c r="I37" s="167">
        <v>20</v>
      </c>
      <c r="J37" s="167"/>
      <c r="K37" s="165" t="s">
        <v>51</v>
      </c>
      <c r="L37" s="167">
        <v>1</v>
      </c>
      <c r="M37" s="167">
        <v>10</v>
      </c>
    </row>
    <row r="38" spans="1:13" s="53" customFormat="1" ht="8.1" customHeight="1" x14ac:dyDescent="0.2">
      <c r="A38" s="86"/>
      <c r="B38" s="85"/>
      <c r="C38" s="85"/>
      <c r="D38" s="162"/>
      <c r="E38" s="167"/>
      <c r="F38" s="167"/>
      <c r="G38" s="167"/>
      <c r="H38" s="167"/>
      <c r="I38" s="167"/>
      <c r="J38" s="167"/>
      <c r="K38" s="167"/>
      <c r="L38" s="167"/>
      <c r="M38" s="167"/>
    </row>
    <row r="39" spans="1:13" s="53" customFormat="1" ht="15.6" customHeight="1" x14ac:dyDescent="0.2">
      <c r="A39" s="86"/>
      <c r="B39" s="85" t="s">
        <v>44</v>
      </c>
      <c r="C39" s="85"/>
      <c r="D39" s="162">
        <v>2016</v>
      </c>
      <c r="E39" s="167">
        <v>51</v>
      </c>
      <c r="F39" s="167">
        <v>2</v>
      </c>
      <c r="G39" s="167">
        <v>3</v>
      </c>
      <c r="H39" s="165" t="s">
        <v>51</v>
      </c>
      <c r="I39" s="167">
        <v>26</v>
      </c>
      <c r="J39" s="167"/>
      <c r="K39" s="165" t="s">
        <v>51</v>
      </c>
      <c r="L39" s="167">
        <v>5</v>
      </c>
      <c r="M39" s="167">
        <v>14</v>
      </c>
    </row>
    <row r="40" spans="1:13" s="53" customFormat="1" ht="15.6" customHeight="1" x14ac:dyDescent="0.2">
      <c r="A40" s="86"/>
      <c r="B40" s="85"/>
      <c r="C40" s="85"/>
      <c r="D40" s="162">
        <v>2017</v>
      </c>
      <c r="E40" s="167">
        <v>39</v>
      </c>
      <c r="F40" s="167">
        <v>4</v>
      </c>
      <c r="G40" s="167">
        <v>2</v>
      </c>
      <c r="H40" s="165" t="s">
        <v>51</v>
      </c>
      <c r="I40" s="167">
        <v>18</v>
      </c>
      <c r="J40" s="167"/>
      <c r="K40" s="165" t="s">
        <v>51</v>
      </c>
      <c r="L40" s="167">
        <v>7</v>
      </c>
      <c r="M40" s="167">
        <v>8</v>
      </c>
    </row>
    <row r="41" spans="1:13" s="53" customFormat="1" ht="15.6" customHeight="1" x14ac:dyDescent="0.2">
      <c r="A41" s="86"/>
      <c r="B41" s="85"/>
      <c r="C41" s="85"/>
      <c r="D41" s="162">
        <v>2018</v>
      </c>
      <c r="E41" s="167">
        <v>37</v>
      </c>
      <c r="F41" s="167">
        <v>1</v>
      </c>
      <c r="G41" s="167">
        <v>8</v>
      </c>
      <c r="H41" s="165" t="s">
        <v>51</v>
      </c>
      <c r="I41" s="167">
        <v>13</v>
      </c>
      <c r="J41" s="167"/>
      <c r="K41" s="165" t="s">
        <v>51</v>
      </c>
      <c r="L41" s="167">
        <v>8</v>
      </c>
      <c r="M41" s="167">
        <v>7</v>
      </c>
    </row>
    <row r="42" spans="1:13" s="53" customFormat="1" ht="8.1" customHeight="1" x14ac:dyDescent="0.2">
      <c r="A42" s="86"/>
      <c r="B42" s="85"/>
      <c r="C42" s="85"/>
      <c r="D42" s="162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s="53" customFormat="1" ht="15.6" customHeight="1" x14ac:dyDescent="0.2">
      <c r="A43" s="86"/>
      <c r="B43" s="85" t="s">
        <v>45</v>
      </c>
      <c r="C43" s="85"/>
      <c r="D43" s="162">
        <v>2016</v>
      </c>
      <c r="E43" s="167">
        <v>26</v>
      </c>
      <c r="F43" s="167">
        <v>1</v>
      </c>
      <c r="G43" s="167">
        <v>6</v>
      </c>
      <c r="H43" s="167">
        <v>1</v>
      </c>
      <c r="I43" s="167">
        <v>10</v>
      </c>
      <c r="J43" s="167"/>
      <c r="K43" s="165" t="s">
        <v>51</v>
      </c>
      <c r="L43" s="167">
        <v>1</v>
      </c>
      <c r="M43" s="167">
        <v>7</v>
      </c>
    </row>
    <row r="44" spans="1:13" s="53" customFormat="1" ht="15.6" customHeight="1" x14ac:dyDescent="0.2">
      <c r="A44" s="86"/>
      <c r="B44" s="85"/>
      <c r="C44" s="85"/>
      <c r="D44" s="162">
        <v>2017</v>
      </c>
      <c r="E44" s="167">
        <v>21</v>
      </c>
      <c r="F44" s="167">
        <v>1</v>
      </c>
      <c r="G44" s="167">
        <v>6</v>
      </c>
      <c r="H44" s="165" t="s">
        <v>51</v>
      </c>
      <c r="I44" s="167">
        <v>4</v>
      </c>
      <c r="J44" s="167"/>
      <c r="K44" s="165" t="s">
        <v>51</v>
      </c>
      <c r="L44" s="167">
        <v>4</v>
      </c>
      <c r="M44" s="167">
        <v>6</v>
      </c>
    </row>
    <row r="45" spans="1:13" s="53" customFormat="1" ht="15.6" customHeight="1" x14ac:dyDescent="0.2">
      <c r="A45" s="86"/>
      <c r="B45" s="85"/>
      <c r="C45" s="85"/>
      <c r="D45" s="162">
        <v>2018</v>
      </c>
      <c r="E45" s="167">
        <v>24</v>
      </c>
      <c r="F45" s="167">
        <v>1</v>
      </c>
      <c r="G45" s="167">
        <v>5</v>
      </c>
      <c r="H45" s="165" t="s">
        <v>51</v>
      </c>
      <c r="I45" s="167">
        <v>6</v>
      </c>
      <c r="J45" s="167"/>
      <c r="K45" s="165" t="s">
        <v>51</v>
      </c>
      <c r="L45" s="167">
        <v>3</v>
      </c>
      <c r="M45" s="167">
        <v>9</v>
      </c>
    </row>
    <row r="46" spans="1:13" s="53" customFormat="1" ht="8.1" customHeight="1" x14ac:dyDescent="0.2">
      <c r="A46" s="86"/>
      <c r="B46" s="85"/>
      <c r="C46" s="85"/>
      <c r="D46" s="162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s="53" customFormat="1" ht="15.6" customHeight="1" x14ac:dyDescent="0.2">
      <c r="A47" s="86"/>
      <c r="B47" s="85" t="s">
        <v>43</v>
      </c>
      <c r="C47" s="85"/>
      <c r="D47" s="162">
        <v>2016</v>
      </c>
      <c r="E47" s="167">
        <v>105</v>
      </c>
      <c r="F47" s="167">
        <v>5</v>
      </c>
      <c r="G47" s="167">
        <v>14</v>
      </c>
      <c r="H47" s="167">
        <v>2</v>
      </c>
      <c r="I47" s="167">
        <v>31</v>
      </c>
      <c r="J47" s="167"/>
      <c r="K47" s="165" t="s">
        <v>51</v>
      </c>
      <c r="L47" s="167">
        <v>11</v>
      </c>
      <c r="M47" s="167">
        <v>42</v>
      </c>
    </row>
    <row r="48" spans="1:13" s="53" customFormat="1" ht="15.6" customHeight="1" x14ac:dyDescent="0.2">
      <c r="A48" s="86"/>
      <c r="B48" s="85"/>
      <c r="C48" s="85"/>
      <c r="D48" s="162">
        <v>2017</v>
      </c>
      <c r="E48" s="167">
        <v>116</v>
      </c>
      <c r="F48" s="167">
        <v>7</v>
      </c>
      <c r="G48" s="167">
        <v>11</v>
      </c>
      <c r="H48" s="167">
        <v>2</v>
      </c>
      <c r="I48" s="167">
        <v>28</v>
      </c>
      <c r="J48" s="167"/>
      <c r="K48" s="165" t="s">
        <v>51</v>
      </c>
      <c r="L48" s="167">
        <v>20</v>
      </c>
      <c r="M48" s="167">
        <v>48</v>
      </c>
    </row>
    <row r="49" spans="1:13" s="53" customFormat="1" ht="15.6" customHeight="1" x14ac:dyDescent="0.2">
      <c r="A49" s="86"/>
      <c r="B49" s="85"/>
      <c r="C49" s="85"/>
      <c r="D49" s="162">
        <v>2018</v>
      </c>
      <c r="E49" s="167">
        <v>99</v>
      </c>
      <c r="F49" s="167">
        <v>6</v>
      </c>
      <c r="G49" s="167">
        <v>8</v>
      </c>
      <c r="H49" s="165" t="s">
        <v>51</v>
      </c>
      <c r="I49" s="167">
        <v>22</v>
      </c>
      <c r="J49" s="167"/>
      <c r="K49" s="165" t="s">
        <v>51</v>
      </c>
      <c r="L49" s="167">
        <v>10</v>
      </c>
      <c r="M49" s="167">
        <v>53</v>
      </c>
    </row>
    <row r="50" spans="1:13" s="53" customFormat="1" ht="8.1" customHeight="1" x14ac:dyDescent="0.2">
      <c r="A50" s="86"/>
      <c r="B50" s="85"/>
      <c r="C50" s="85"/>
      <c r="D50" s="162"/>
      <c r="E50" s="167"/>
      <c r="F50" s="167"/>
      <c r="G50" s="167"/>
      <c r="H50" s="167"/>
      <c r="I50" s="167"/>
      <c r="J50" s="167"/>
      <c r="K50" s="167"/>
      <c r="L50" s="167"/>
      <c r="M50" s="167"/>
    </row>
    <row r="51" spans="1:13" s="53" customFormat="1" ht="15.6" customHeight="1" x14ac:dyDescent="0.2">
      <c r="A51" s="86"/>
      <c r="B51" s="85" t="s">
        <v>72</v>
      </c>
      <c r="C51" s="85"/>
      <c r="D51" s="162">
        <v>2016</v>
      </c>
      <c r="E51" s="167">
        <v>1</v>
      </c>
      <c r="F51" s="167" t="s">
        <v>51</v>
      </c>
      <c r="G51" s="167" t="s">
        <v>51</v>
      </c>
      <c r="H51" s="165" t="s">
        <v>51</v>
      </c>
      <c r="I51" s="167">
        <v>1</v>
      </c>
      <c r="J51" s="167"/>
      <c r="K51" s="165" t="s">
        <v>51</v>
      </c>
      <c r="L51" s="165" t="s">
        <v>51</v>
      </c>
      <c r="M51" s="167" t="s">
        <v>51</v>
      </c>
    </row>
    <row r="52" spans="1:13" s="53" customFormat="1" ht="15.6" customHeight="1" x14ac:dyDescent="0.2">
      <c r="A52" s="86"/>
      <c r="B52" s="85"/>
      <c r="C52" s="85"/>
      <c r="D52" s="162">
        <v>2017</v>
      </c>
      <c r="E52" s="167">
        <v>2</v>
      </c>
      <c r="F52" s="167" t="s">
        <v>51</v>
      </c>
      <c r="G52" s="167">
        <v>2</v>
      </c>
      <c r="H52" s="165" t="s">
        <v>51</v>
      </c>
      <c r="I52" s="165" t="s">
        <v>51</v>
      </c>
      <c r="J52" s="167"/>
      <c r="K52" s="165" t="s">
        <v>51</v>
      </c>
      <c r="L52" s="165" t="s">
        <v>51</v>
      </c>
      <c r="M52" s="167" t="s">
        <v>51</v>
      </c>
    </row>
    <row r="53" spans="1:13" s="53" customFormat="1" ht="15.6" customHeight="1" x14ac:dyDescent="0.2">
      <c r="A53" s="86"/>
      <c r="B53" s="85"/>
      <c r="C53" s="85"/>
      <c r="D53" s="162">
        <v>2018</v>
      </c>
      <c r="E53" s="167">
        <v>3</v>
      </c>
      <c r="F53" s="167" t="s">
        <v>51</v>
      </c>
      <c r="G53" s="167">
        <v>3</v>
      </c>
      <c r="H53" s="165" t="s">
        <v>51</v>
      </c>
      <c r="I53" s="165" t="s">
        <v>51</v>
      </c>
      <c r="J53" s="167"/>
      <c r="K53" s="165" t="s">
        <v>51</v>
      </c>
      <c r="L53" s="165" t="s">
        <v>51</v>
      </c>
      <c r="M53" s="167" t="s">
        <v>51</v>
      </c>
    </row>
    <row r="54" spans="1:13" s="53" customFormat="1" ht="8.1" customHeight="1" x14ac:dyDescent="0.2">
      <c r="A54" s="86"/>
      <c r="B54" s="85"/>
      <c r="C54" s="85"/>
      <c r="D54" s="162"/>
      <c r="E54" s="167"/>
      <c r="F54" s="167"/>
      <c r="G54" s="167"/>
      <c r="H54" s="167"/>
      <c r="I54" s="167"/>
      <c r="J54" s="167"/>
      <c r="K54" s="167"/>
      <c r="L54" s="167"/>
      <c r="M54" s="167"/>
    </row>
    <row r="55" spans="1:13" s="53" customFormat="1" ht="15.6" customHeight="1" x14ac:dyDescent="0.2">
      <c r="A55" s="86"/>
      <c r="B55" s="85" t="s">
        <v>47</v>
      </c>
      <c r="C55" s="85"/>
      <c r="D55" s="162">
        <v>2016</v>
      </c>
      <c r="E55" s="167">
        <v>20</v>
      </c>
      <c r="F55" s="167">
        <v>1</v>
      </c>
      <c r="G55" s="167">
        <v>3</v>
      </c>
      <c r="H55" s="165" t="s">
        <v>51</v>
      </c>
      <c r="I55" s="167">
        <v>5</v>
      </c>
      <c r="J55" s="167"/>
      <c r="K55" s="165" t="s">
        <v>51</v>
      </c>
      <c r="L55" s="167">
        <v>2</v>
      </c>
      <c r="M55" s="167">
        <v>9</v>
      </c>
    </row>
    <row r="56" spans="1:13" s="53" customFormat="1" ht="15.6" customHeight="1" x14ac:dyDescent="0.2">
      <c r="A56" s="86"/>
      <c r="B56" s="85"/>
      <c r="C56" s="85"/>
      <c r="D56" s="162">
        <v>2017</v>
      </c>
      <c r="E56" s="167">
        <v>24</v>
      </c>
      <c r="F56" s="167" t="s">
        <v>51</v>
      </c>
      <c r="G56" s="167">
        <v>8</v>
      </c>
      <c r="H56" s="165" t="s">
        <v>51</v>
      </c>
      <c r="I56" s="167">
        <v>9</v>
      </c>
      <c r="J56" s="167"/>
      <c r="K56" s="165" t="s">
        <v>51</v>
      </c>
      <c r="L56" s="165" t="s">
        <v>51</v>
      </c>
      <c r="M56" s="167">
        <v>7</v>
      </c>
    </row>
    <row r="57" spans="1:13" s="53" customFormat="1" ht="15.6" customHeight="1" x14ac:dyDescent="0.2">
      <c r="A57" s="86"/>
      <c r="B57" s="85"/>
      <c r="C57" s="85"/>
      <c r="D57" s="162">
        <v>2018</v>
      </c>
      <c r="E57" s="167">
        <v>11</v>
      </c>
      <c r="F57" s="165">
        <v>3</v>
      </c>
      <c r="G57" s="167">
        <v>3</v>
      </c>
      <c r="H57" s="165" t="s">
        <v>51</v>
      </c>
      <c r="I57" s="167">
        <v>1</v>
      </c>
      <c r="J57" s="167"/>
      <c r="K57" s="165" t="s">
        <v>51</v>
      </c>
      <c r="L57" s="165" t="s">
        <v>51</v>
      </c>
      <c r="M57" s="167">
        <v>4</v>
      </c>
    </row>
    <row r="58" spans="1:13" s="53" customFormat="1" ht="8.1" customHeight="1" x14ac:dyDescent="0.2">
      <c r="A58" s="86"/>
      <c r="B58" s="85"/>
      <c r="C58" s="85"/>
      <c r="D58" s="162"/>
      <c r="E58" s="167"/>
      <c r="F58" s="167"/>
      <c r="G58" s="167"/>
      <c r="H58" s="167"/>
      <c r="I58" s="167"/>
      <c r="J58" s="167"/>
      <c r="K58" s="167"/>
      <c r="L58" s="167"/>
      <c r="M58" s="167"/>
    </row>
    <row r="59" spans="1:13" s="53" customFormat="1" ht="15.6" customHeight="1" x14ac:dyDescent="0.2">
      <c r="A59" s="86"/>
      <c r="B59" s="85" t="s">
        <v>73</v>
      </c>
      <c r="C59" s="85"/>
      <c r="D59" s="162">
        <v>2016</v>
      </c>
      <c r="E59" s="167">
        <v>9</v>
      </c>
      <c r="F59" s="167" t="s">
        <v>51</v>
      </c>
      <c r="G59" s="167">
        <v>3</v>
      </c>
      <c r="H59" s="165" t="s">
        <v>51</v>
      </c>
      <c r="I59" s="167">
        <v>3</v>
      </c>
      <c r="J59" s="167"/>
      <c r="K59" s="165" t="s">
        <v>51</v>
      </c>
      <c r="L59" s="167">
        <v>1</v>
      </c>
      <c r="M59" s="167">
        <v>2</v>
      </c>
    </row>
    <row r="60" spans="1:13" s="53" customFormat="1" ht="15.6" customHeight="1" x14ac:dyDescent="0.2">
      <c r="A60" s="86"/>
      <c r="B60" s="85"/>
      <c r="C60" s="85"/>
      <c r="D60" s="162">
        <v>2017</v>
      </c>
      <c r="E60" s="167">
        <v>3</v>
      </c>
      <c r="F60" s="167" t="s">
        <v>51</v>
      </c>
      <c r="G60" s="167">
        <v>1</v>
      </c>
      <c r="H60" s="165" t="s">
        <v>51</v>
      </c>
      <c r="I60" s="167">
        <v>1</v>
      </c>
      <c r="J60" s="167"/>
      <c r="K60" s="165" t="s">
        <v>51</v>
      </c>
      <c r="L60" s="165" t="s">
        <v>51</v>
      </c>
      <c r="M60" s="167">
        <v>1</v>
      </c>
    </row>
    <row r="61" spans="1:13" s="53" customFormat="1" ht="15.6" customHeight="1" x14ac:dyDescent="0.2">
      <c r="A61" s="86"/>
      <c r="B61" s="85"/>
      <c r="C61" s="85"/>
      <c r="D61" s="162">
        <v>2018</v>
      </c>
      <c r="E61" s="167">
        <v>8</v>
      </c>
      <c r="F61" s="167" t="s">
        <v>51</v>
      </c>
      <c r="G61" s="167">
        <v>3</v>
      </c>
      <c r="H61" s="165" t="s">
        <v>51</v>
      </c>
      <c r="I61" s="167">
        <v>3</v>
      </c>
      <c r="J61" s="167"/>
      <c r="K61" s="165" t="s">
        <v>51</v>
      </c>
      <c r="L61" s="165" t="s">
        <v>51</v>
      </c>
      <c r="M61" s="167">
        <v>2</v>
      </c>
    </row>
    <row r="62" spans="1:13" s="53" customFormat="1" ht="8.1" customHeight="1" x14ac:dyDescent="0.2">
      <c r="A62" s="86"/>
      <c r="B62" s="85"/>
      <c r="C62" s="85"/>
      <c r="D62" s="162"/>
      <c r="E62" s="167"/>
      <c r="F62" s="167"/>
      <c r="G62" s="167"/>
      <c r="H62" s="167"/>
      <c r="I62" s="167"/>
      <c r="J62" s="167"/>
      <c r="K62" s="167"/>
      <c r="L62" s="167"/>
      <c r="M62" s="167"/>
    </row>
    <row r="63" spans="1:13" s="53" customFormat="1" ht="15.6" customHeight="1" x14ac:dyDescent="0.2">
      <c r="A63" s="86"/>
      <c r="B63" s="85" t="s">
        <v>74</v>
      </c>
      <c r="C63" s="85"/>
      <c r="D63" s="162">
        <v>2016</v>
      </c>
      <c r="E63" s="167">
        <v>34</v>
      </c>
      <c r="F63" s="167">
        <v>2</v>
      </c>
      <c r="G63" s="167">
        <v>3</v>
      </c>
      <c r="H63" s="165" t="s">
        <v>51</v>
      </c>
      <c r="I63" s="167">
        <v>14</v>
      </c>
      <c r="J63" s="167"/>
      <c r="K63" s="165" t="s">
        <v>51</v>
      </c>
      <c r="L63" s="167">
        <v>3</v>
      </c>
      <c r="M63" s="167">
        <v>12</v>
      </c>
    </row>
    <row r="64" spans="1:13" s="53" customFormat="1" ht="15.6" customHeight="1" x14ac:dyDescent="0.2">
      <c r="A64" s="86"/>
      <c r="B64" s="85"/>
      <c r="C64" s="85"/>
      <c r="D64" s="162">
        <v>2017</v>
      </c>
      <c r="E64" s="167">
        <v>31</v>
      </c>
      <c r="F64" s="167">
        <v>1</v>
      </c>
      <c r="G64" s="167">
        <v>9</v>
      </c>
      <c r="H64" s="165" t="s">
        <v>51</v>
      </c>
      <c r="I64" s="167">
        <v>12</v>
      </c>
      <c r="J64" s="167"/>
      <c r="K64" s="165" t="s">
        <v>51</v>
      </c>
      <c r="L64" s="167">
        <v>4</v>
      </c>
      <c r="M64" s="167">
        <v>5</v>
      </c>
    </row>
    <row r="65" spans="1:14" s="53" customFormat="1" ht="15.6" customHeight="1" x14ac:dyDescent="0.2">
      <c r="A65" s="86"/>
      <c r="B65" s="85"/>
      <c r="C65" s="85"/>
      <c r="D65" s="162">
        <v>2018</v>
      </c>
      <c r="E65" s="167">
        <v>35</v>
      </c>
      <c r="F65" s="167">
        <v>1</v>
      </c>
      <c r="G65" s="167">
        <v>5</v>
      </c>
      <c r="H65" s="165" t="s">
        <v>51</v>
      </c>
      <c r="I65" s="167">
        <v>13</v>
      </c>
      <c r="J65" s="167"/>
      <c r="K65" s="165" t="s">
        <v>51</v>
      </c>
      <c r="L65" s="165" t="s">
        <v>51</v>
      </c>
      <c r="M65" s="167">
        <v>16</v>
      </c>
    </row>
    <row r="66" spans="1:14" s="53" customFormat="1" ht="8.1" customHeight="1" x14ac:dyDescent="0.2">
      <c r="A66" s="86"/>
      <c r="B66" s="85"/>
      <c r="C66" s="85"/>
      <c r="D66" s="162"/>
      <c r="E66" s="167"/>
      <c r="F66" s="167"/>
      <c r="G66" s="167"/>
      <c r="H66" s="167"/>
      <c r="I66" s="167"/>
      <c r="J66" s="167"/>
      <c r="K66" s="167"/>
      <c r="L66" s="167"/>
      <c r="M66" s="167"/>
    </row>
    <row r="67" spans="1:14" s="53" customFormat="1" ht="15.6" customHeight="1" x14ac:dyDescent="0.2">
      <c r="A67" s="86"/>
      <c r="B67" s="85" t="s">
        <v>75</v>
      </c>
      <c r="C67" s="85"/>
      <c r="D67" s="162">
        <v>2016</v>
      </c>
      <c r="E67" s="167">
        <v>212</v>
      </c>
      <c r="F67" s="167">
        <v>7</v>
      </c>
      <c r="G67" s="167">
        <v>19</v>
      </c>
      <c r="H67" s="167">
        <v>1</v>
      </c>
      <c r="I67" s="167">
        <v>72</v>
      </c>
      <c r="J67" s="167"/>
      <c r="K67" s="165" t="s">
        <v>51</v>
      </c>
      <c r="L67" s="167">
        <v>26</v>
      </c>
      <c r="M67" s="167">
        <v>87</v>
      </c>
    </row>
    <row r="68" spans="1:14" s="53" customFormat="1" ht="15.6" customHeight="1" x14ac:dyDescent="0.2">
      <c r="A68" s="86"/>
      <c r="B68" s="85"/>
      <c r="C68" s="85"/>
      <c r="D68" s="162">
        <v>2017</v>
      </c>
      <c r="E68" s="167">
        <v>170</v>
      </c>
      <c r="F68" s="167">
        <v>2</v>
      </c>
      <c r="G68" s="167">
        <v>10</v>
      </c>
      <c r="H68" s="167">
        <v>1</v>
      </c>
      <c r="I68" s="167">
        <v>60</v>
      </c>
      <c r="J68" s="167"/>
      <c r="K68" s="165" t="s">
        <v>51</v>
      </c>
      <c r="L68" s="167">
        <v>34</v>
      </c>
      <c r="M68" s="167">
        <v>63</v>
      </c>
    </row>
    <row r="69" spans="1:14" s="53" customFormat="1" ht="15.6" customHeight="1" x14ac:dyDescent="0.2">
      <c r="A69" s="86"/>
      <c r="B69" s="85"/>
      <c r="C69" s="85"/>
      <c r="D69" s="162">
        <v>2018</v>
      </c>
      <c r="E69" s="167">
        <v>165</v>
      </c>
      <c r="F69" s="167">
        <v>3</v>
      </c>
      <c r="G69" s="167">
        <v>26</v>
      </c>
      <c r="H69" s="165" t="s">
        <v>51</v>
      </c>
      <c r="I69" s="167">
        <v>50</v>
      </c>
      <c r="J69" s="167"/>
      <c r="K69" s="165" t="s">
        <v>51</v>
      </c>
      <c r="L69" s="167">
        <v>24</v>
      </c>
      <c r="M69" s="167">
        <v>62</v>
      </c>
    </row>
    <row r="70" spans="1:14" s="53" customFormat="1" ht="8.1" customHeight="1" x14ac:dyDescent="0.2">
      <c r="A70" s="86"/>
      <c r="B70" s="85"/>
      <c r="C70" s="85"/>
      <c r="D70" s="162"/>
      <c r="E70" s="167"/>
      <c r="F70" s="167"/>
      <c r="G70" s="167"/>
      <c r="H70" s="167"/>
      <c r="I70" s="167"/>
      <c r="J70" s="167"/>
      <c r="K70" s="167"/>
      <c r="L70" s="167"/>
      <c r="M70" s="167"/>
    </row>
    <row r="71" spans="1:14" s="53" customFormat="1" ht="15.6" customHeight="1" x14ac:dyDescent="0.2">
      <c r="A71" s="86"/>
      <c r="B71" s="85" t="s">
        <v>76</v>
      </c>
      <c r="C71" s="85"/>
      <c r="D71" s="162">
        <v>2016</v>
      </c>
      <c r="E71" s="167">
        <v>44</v>
      </c>
      <c r="F71" s="167" t="s">
        <v>51</v>
      </c>
      <c r="G71" s="167">
        <v>2</v>
      </c>
      <c r="H71" s="167">
        <v>1</v>
      </c>
      <c r="I71" s="167">
        <v>20</v>
      </c>
      <c r="J71" s="167"/>
      <c r="K71" s="167">
        <v>1</v>
      </c>
      <c r="L71" s="167">
        <v>6</v>
      </c>
      <c r="M71" s="167">
        <v>14</v>
      </c>
    </row>
    <row r="72" spans="1:14" s="53" customFormat="1" ht="15.6" customHeight="1" x14ac:dyDescent="0.2">
      <c r="A72" s="86"/>
      <c r="B72" s="85"/>
      <c r="C72" s="85"/>
      <c r="D72" s="162">
        <v>2017</v>
      </c>
      <c r="E72" s="167">
        <v>31</v>
      </c>
      <c r="F72" s="167" t="s">
        <v>51</v>
      </c>
      <c r="G72" s="167">
        <v>3</v>
      </c>
      <c r="H72" s="165" t="s">
        <v>51</v>
      </c>
      <c r="I72" s="167">
        <v>21</v>
      </c>
      <c r="J72" s="167"/>
      <c r="K72" s="165" t="s">
        <v>51</v>
      </c>
      <c r="L72" s="165" t="s">
        <v>51</v>
      </c>
      <c r="M72" s="167">
        <v>7</v>
      </c>
    </row>
    <row r="73" spans="1:14" s="53" customFormat="1" ht="15.6" customHeight="1" x14ac:dyDescent="0.2">
      <c r="A73" s="86"/>
      <c r="B73" s="85"/>
      <c r="C73" s="85"/>
      <c r="D73" s="162">
        <v>2018</v>
      </c>
      <c r="E73" s="167">
        <v>20</v>
      </c>
      <c r="F73" s="165">
        <v>1</v>
      </c>
      <c r="G73" s="167">
        <v>1</v>
      </c>
      <c r="H73" s="165" t="s">
        <v>51</v>
      </c>
      <c r="I73" s="167">
        <v>11</v>
      </c>
      <c r="J73" s="167"/>
      <c r="K73" s="165" t="s">
        <v>51</v>
      </c>
      <c r="L73" s="167">
        <v>4</v>
      </c>
      <c r="M73" s="167">
        <v>3</v>
      </c>
    </row>
    <row r="74" spans="1:14" s="53" customFormat="1" ht="8.1" customHeight="1" x14ac:dyDescent="0.2">
      <c r="A74" s="86"/>
      <c r="B74" s="85"/>
      <c r="C74" s="85"/>
      <c r="D74" s="162"/>
      <c r="E74" s="167"/>
      <c r="F74" s="167"/>
      <c r="G74" s="167"/>
      <c r="H74" s="167"/>
      <c r="I74" s="167"/>
      <c r="J74" s="167"/>
      <c r="K74" s="167"/>
      <c r="L74" s="167"/>
      <c r="M74" s="167"/>
    </row>
    <row r="75" spans="1:14" s="53" customFormat="1" ht="15.6" customHeight="1" x14ac:dyDescent="0.2">
      <c r="A75" s="86"/>
      <c r="B75" s="85" t="s">
        <v>77</v>
      </c>
      <c r="C75" s="85"/>
      <c r="D75" s="162">
        <v>2016</v>
      </c>
      <c r="E75" s="167">
        <v>61</v>
      </c>
      <c r="F75" s="167">
        <v>1</v>
      </c>
      <c r="G75" s="167">
        <v>8</v>
      </c>
      <c r="H75" s="165" t="s">
        <v>51</v>
      </c>
      <c r="I75" s="167">
        <v>30</v>
      </c>
      <c r="J75" s="167"/>
      <c r="K75" s="165" t="s">
        <v>51</v>
      </c>
      <c r="L75" s="167">
        <v>3</v>
      </c>
      <c r="M75" s="167">
        <v>19</v>
      </c>
    </row>
    <row r="76" spans="1:14" s="53" customFormat="1" ht="15.6" customHeight="1" x14ac:dyDescent="0.2">
      <c r="A76" s="86"/>
      <c r="B76" s="85"/>
      <c r="C76" s="85"/>
      <c r="D76" s="162">
        <v>2017</v>
      </c>
      <c r="E76" s="167">
        <v>50</v>
      </c>
      <c r="F76" s="167">
        <v>1</v>
      </c>
      <c r="G76" s="167">
        <v>12</v>
      </c>
      <c r="H76" s="165" t="s">
        <v>51</v>
      </c>
      <c r="I76" s="167">
        <v>9</v>
      </c>
      <c r="J76" s="167"/>
      <c r="K76" s="165" t="s">
        <v>51</v>
      </c>
      <c r="L76" s="167">
        <v>3</v>
      </c>
      <c r="M76" s="167">
        <v>25</v>
      </c>
    </row>
    <row r="77" spans="1:14" s="53" customFormat="1" ht="15.6" customHeight="1" x14ac:dyDescent="0.2">
      <c r="A77" s="86"/>
      <c r="B77" s="85"/>
      <c r="C77" s="85"/>
      <c r="D77" s="162">
        <v>2017</v>
      </c>
      <c r="E77" s="167">
        <v>49</v>
      </c>
      <c r="F77" s="167">
        <v>1</v>
      </c>
      <c r="G77" s="167">
        <v>5</v>
      </c>
      <c r="H77" s="165" t="s">
        <v>51</v>
      </c>
      <c r="I77" s="167">
        <v>19</v>
      </c>
      <c r="J77" s="167"/>
      <c r="K77" s="165" t="s">
        <v>51</v>
      </c>
      <c r="L77" s="167">
        <v>8</v>
      </c>
      <c r="M77" s="167">
        <v>16</v>
      </c>
    </row>
    <row r="78" spans="1:14" s="53" customFormat="1" ht="2.25" customHeight="1" thickBot="1" x14ac:dyDescent="0.25">
      <c r="A78" s="219"/>
      <c r="B78" s="220"/>
      <c r="C78" s="220"/>
      <c r="D78" s="220"/>
      <c r="E78" s="221"/>
      <c r="F78" s="222"/>
      <c r="G78" s="222"/>
      <c r="H78" s="222"/>
      <c r="I78" s="222"/>
      <c r="J78" s="222"/>
      <c r="K78" s="222"/>
      <c r="L78" s="222"/>
      <c r="M78" s="223"/>
      <c r="N78" s="219"/>
    </row>
    <row r="79" spans="1:14" s="53" customFormat="1" ht="12.75" x14ac:dyDescent="0.2">
      <c r="B79" s="118"/>
      <c r="C79" s="118"/>
      <c r="D79" s="118"/>
      <c r="E79" s="66"/>
      <c r="F79" s="117"/>
      <c r="G79" s="117"/>
      <c r="H79" s="117"/>
      <c r="I79" s="117"/>
      <c r="J79" s="117"/>
      <c r="K79" s="117"/>
      <c r="L79" s="117"/>
      <c r="M79" s="213"/>
      <c r="N79" s="8" t="s">
        <v>101</v>
      </c>
    </row>
    <row r="80" spans="1:14" s="53" customFormat="1" ht="12.75" x14ac:dyDescent="0.2">
      <c r="B80" s="118"/>
      <c r="C80" s="118"/>
      <c r="D80" s="118"/>
      <c r="E80" s="66"/>
      <c r="F80" s="117"/>
      <c r="G80" s="117"/>
      <c r="H80" s="117"/>
      <c r="I80" s="117"/>
      <c r="J80" s="117"/>
      <c r="K80" s="117"/>
      <c r="L80" s="117"/>
      <c r="M80" s="213"/>
      <c r="N80" s="41" t="s">
        <v>1</v>
      </c>
    </row>
    <row r="81" spans="1:13" s="53" customFormat="1" ht="12.95" customHeight="1" x14ac:dyDescent="0.2">
      <c r="A81" s="116"/>
      <c r="B81" s="118"/>
      <c r="C81" s="118"/>
      <c r="D81" s="118"/>
      <c r="E81" s="66"/>
      <c r="F81" s="117"/>
      <c r="G81" s="117"/>
      <c r="H81" s="117"/>
      <c r="I81" s="117"/>
      <c r="J81" s="117"/>
      <c r="K81" s="117"/>
      <c r="L81" s="117"/>
      <c r="M81" s="116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7"/>
  <sheetViews>
    <sheetView showGridLines="0" tabSelected="1" zoomScaleNormal="100" zoomScaleSheetLayoutView="100" workbookViewId="0">
      <selection activeCell="J23" sqref="J23"/>
    </sheetView>
  </sheetViews>
  <sheetFormatPr defaultRowHeight="15" x14ac:dyDescent="0.25"/>
  <cols>
    <col min="1" max="1" width="1.42578125" style="2" customWidth="1"/>
    <col min="2" max="2" width="10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1.140625" style="2" customWidth="1"/>
    <col min="15" max="16384" width="9.140625" style="2"/>
  </cols>
  <sheetData>
    <row r="1" spans="1:14" ht="9.9499999999999993" customHeight="1" x14ac:dyDescent="0.25">
      <c r="B1" s="3" t="s">
        <v>203</v>
      </c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53" customFormat="1" ht="18" customHeight="1" x14ac:dyDescent="0.2">
      <c r="B15" s="127" t="s">
        <v>49</v>
      </c>
      <c r="C15" s="127"/>
      <c r="D15" s="65">
        <v>2016</v>
      </c>
      <c r="E15" s="166">
        <f>SUM(F15:M15)</f>
        <v>109</v>
      </c>
      <c r="F15" s="143" t="s">
        <v>51</v>
      </c>
      <c r="G15" s="166">
        <f>SUM(G19,G23,G27)</f>
        <v>31</v>
      </c>
      <c r="H15" s="143" t="s">
        <v>51</v>
      </c>
      <c r="I15" s="166">
        <f t="shared" ref="I15" si="0">SUM(I19,I23,I27)</f>
        <v>17</v>
      </c>
      <c r="J15" s="166"/>
      <c r="K15" s="143" t="s">
        <v>51</v>
      </c>
      <c r="L15" s="166">
        <f t="shared" ref="L15" si="1">SUM(L19,L23,L27)</f>
        <v>9</v>
      </c>
      <c r="M15" s="166">
        <f>SUM(M19,M23,M27)</f>
        <v>52</v>
      </c>
    </row>
    <row r="16" spans="1:14" s="53" customFormat="1" ht="18" customHeight="1" x14ac:dyDescent="0.2">
      <c r="B16" s="127"/>
      <c r="C16" s="127"/>
      <c r="D16" s="65">
        <v>2017</v>
      </c>
      <c r="E16" s="121">
        <f>SUM(F16:M16)</f>
        <v>132</v>
      </c>
      <c r="F16" s="166">
        <f>F20+F28</f>
        <v>2</v>
      </c>
      <c r="G16" s="166">
        <f t="shared" ref="G16:I17" si="2">SUM(G20,G24,G28)</f>
        <v>30</v>
      </c>
      <c r="H16" s="143" t="s">
        <v>51</v>
      </c>
      <c r="I16" s="166">
        <f t="shared" si="2"/>
        <v>25</v>
      </c>
      <c r="J16" s="166"/>
      <c r="K16" s="143" t="s">
        <v>51</v>
      </c>
      <c r="L16" s="166">
        <f t="shared" ref="L16:M16" si="3">SUM(L20,L24,L28)</f>
        <v>28</v>
      </c>
      <c r="M16" s="166">
        <f t="shared" si="3"/>
        <v>47</v>
      </c>
    </row>
    <row r="17" spans="1:15" s="53" customFormat="1" ht="18" customHeight="1" x14ac:dyDescent="0.2">
      <c r="B17" s="127"/>
      <c r="C17" s="127"/>
      <c r="D17" s="65">
        <v>2018</v>
      </c>
      <c r="E17" s="121">
        <f>SUM(F17:M17)</f>
        <v>126</v>
      </c>
      <c r="F17" s="166">
        <f>SUM(F21,F25,F29)</f>
        <v>1</v>
      </c>
      <c r="G17" s="166">
        <f t="shared" si="2"/>
        <v>30</v>
      </c>
      <c r="H17" s="143" t="s">
        <v>51</v>
      </c>
      <c r="I17" s="166">
        <f t="shared" si="2"/>
        <v>17</v>
      </c>
      <c r="J17" s="166"/>
      <c r="K17" s="143" t="s">
        <v>51</v>
      </c>
      <c r="L17" s="166">
        <f t="shared" ref="L17:M17" si="4">SUM(L21,L25,L29)</f>
        <v>33</v>
      </c>
      <c r="M17" s="166">
        <f t="shared" si="4"/>
        <v>45</v>
      </c>
    </row>
    <row r="18" spans="1:15" s="53" customFormat="1" ht="18" customHeight="1" x14ac:dyDescent="0.2">
      <c r="B18" s="127"/>
      <c r="C18" s="127"/>
      <c r="D18" s="162"/>
      <c r="E18" s="167"/>
      <c r="F18" s="165"/>
      <c r="G18" s="167"/>
      <c r="H18" s="167"/>
      <c r="I18" s="167"/>
      <c r="J18" s="167"/>
      <c r="K18" s="167"/>
      <c r="L18" s="167"/>
      <c r="M18" s="167"/>
    </row>
    <row r="19" spans="1:15" s="105" customFormat="1" ht="18" customHeight="1" x14ac:dyDescent="0.2">
      <c r="B19" s="85" t="s">
        <v>78</v>
      </c>
      <c r="C19" s="85"/>
      <c r="D19" s="162">
        <v>2016</v>
      </c>
      <c r="E19" s="167">
        <f>SUM(F19:M19)</f>
        <v>34</v>
      </c>
      <c r="F19" s="165" t="s">
        <v>51</v>
      </c>
      <c r="G19" s="167">
        <v>12</v>
      </c>
      <c r="H19" s="165" t="s">
        <v>51</v>
      </c>
      <c r="I19" s="167">
        <v>6</v>
      </c>
      <c r="J19" s="167"/>
      <c r="K19" s="165" t="s">
        <v>51</v>
      </c>
      <c r="L19" s="167">
        <v>1</v>
      </c>
      <c r="M19" s="167">
        <v>15</v>
      </c>
    </row>
    <row r="20" spans="1:15" s="105" customFormat="1" ht="18" customHeight="1" x14ac:dyDescent="0.2">
      <c r="B20" s="85"/>
      <c r="C20" s="85"/>
      <c r="D20" s="162">
        <v>2017</v>
      </c>
      <c r="E20" s="167">
        <f t="shared" ref="E20:E21" si="5">SUM(F20:M20)</f>
        <v>37</v>
      </c>
      <c r="F20" s="165">
        <v>1</v>
      </c>
      <c r="G20" s="167">
        <v>10</v>
      </c>
      <c r="H20" s="165" t="s">
        <v>51</v>
      </c>
      <c r="I20" s="167">
        <v>5</v>
      </c>
      <c r="J20" s="167"/>
      <c r="K20" s="165" t="s">
        <v>51</v>
      </c>
      <c r="L20" s="167">
        <v>13</v>
      </c>
      <c r="M20" s="167">
        <v>8</v>
      </c>
    </row>
    <row r="21" spans="1:15" s="105" customFormat="1" ht="18" customHeight="1" x14ac:dyDescent="0.2">
      <c r="B21" s="85"/>
      <c r="C21" s="85"/>
      <c r="D21" s="162">
        <v>2018</v>
      </c>
      <c r="E21" s="167">
        <f t="shared" si="5"/>
        <v>34</v>
      </c>
      <c r="F21" s="165" t="s">
        <v>51</v>
      </c>
      <c r="G21" s="167">
        <v>11</v>
      </c>
      <c r="H21" s="165" t="s">
        <v>51</v>
      </c>
      <c r="I21" s="167">
        <v>4</v>
      </c>
      <c r="J21" s="167"/>
      <c r="K21" s="165" t="s">
        <v>51</v>
      </c>
      <c r="L21" s="167">
        <v>7</v>
      </c>
      <c r="M21" s="167">
        <v>12</v>
      </c>
    </row>
    <row r="22" spans="1:15" s="105" customFormat="1" ht="18" customHeight="1" x14ac:dyDescent="0.2">
      <c r="B22" s="85"/>
      <c r="C22" s="85"/>
      <c r="D22" s="162"/>
      <c r="E22" s="167"/>
      <c r="F22" s="167"/>
      <c r="G22" s="167"/>
      <c r="H22" s="167"/>
      <c r="I22" s="167"/>
      <c r="J22" s="167"/>
      <c r="K22" s="167"/>
      <c r="L22" s="167"/>
      <c r="M22" s="167"/>
    </row>
    <row r="23" spans="1:15" s="105" customFormat="1" ht="18" customHeight="1" x14ac:dyDescent="0.2">
      <c r="B23" s="85" t="s">
        <v>79</v>
      </c>
      <c r="C23" s="85"/>
      <c r="D23" s="162">
        <v>2016</v>
      </c>
      <c r="E23" s="167">
        <f>SUM(F23:M23)</f>
        <v>53</v>
      </c>
      <c r="F23" s="165" t="s">
        <v>51</v>
      </c>
      <c r="G23" s="167">
        <v>12</v>
      </c>
      <c r="H23" s="165" t="s">
        <v>51</v>
      </c>
      <c r="I23" s="167">
        <v>9</v>
      </c>
      <c r="J23" s="167"/>
      <c r="K23" s="165" t="s">
        <v>51</v>
      </c>
      <c r="L23" s="167">
        <v>7</v>
      </c>
      <c r="M23" s="167">
        <v>25</v>
      </c>
      <c r="O23" s="123"/>
    </row>
    <row r="24" spans="1:15" s="119" customFormat="1" ht="18" customHeight="1" x14ac:dyDescent="0.2">
      <c r="B24" s="85"/>
      <c r="C24" s="85"/>
      <c r="D24" s="162">
        <v>2017</v>
      </c>
      <c r="E24" s="167">
        <f t="shared" ref="E24:E25" si="6">SUM(F24:M24)</f>
        <v>64</v>
      </c>
      <c r="F24" s="165" t="s">
        <v>51</v>
      </c>
      <c r="G24" s="167">
        <v>9</v>
      </c>
      <c r="H24" s="165" t="s">
        <v>51</v>
      </c>
      <c r="I24" s="167">
        <v>14</v>
      </c>
      <c r="J24" s="167"/>
      <c r="K24" s="165" t="s">
        <v>51</v>
      </c>
      <c r="L24" s="167">
        <v>14</v>
      </c>
      <c r="M24" s="167">
        <v>27</v>
      </c>
    </row>
    <row r="25" spans="1:15" s="53" customFormat="1" ht="18" customHeight="1" x14ac:dyDescent="0.2">
      <c r="B25" s="85"/>
      <c r="C25" s="85"/>
      <c r="D25" s="162">
        <v>2018</v>
      </c>
      <c r="E25" s="167">
        <f t="shared" si="6"/>
        <v>79</v>
      </c>
      <c r="F25" s="167">
        <v>1</v>
      </c>
      <c r="G25" s="167">
        <v>16</v>
      </c>
      <c r="H25" s="165" t="s">
        <v>51</v>
      </c>
      <c r="I25" s="167">
        <v>11</v>
      </c>
      <c r="J25" s="167"/>
      <c r="K25" s="165" t="s">
        <v>51</v>
      </c>
      <c r="L25" s="167">
        <v>20</v>
      </c>
      <c r="M25" s="167">
        <v>31</v>
      </c>
    </row>
    <row r="26" spans="1:15" s="53" customFormat="1" ht="18" customHeight="1" x14ac:dyDescent="0.2">
      <c r="B26" s="85"/>
      <c r="C26" s="85"/>
      <c r="D26" s="162"/>
      <c r="E26" s="167"/>
      <c r="F26" s="165" t="s">
        <v>51</v>
      </c>
      <c r="G26" s="167"/>
      <c r="H26" s="167"/>
      <c r="I26" s="167"/>
      <c r="J26" s="167"/>
      <c r="K26" s="167"/>
      <c r="L26" s="167"/>
      <c r="M26" s="167"/>
    </row>
    <row r="27" spans="1:15" s="53" customFormat="1" ht="18" customHeight="1" x14ac:dyDescent="0.2">
      <c r="B27" s="85" t="s">
        <v>80</v>
      </c>
      <c r="C27" s="85"/>
      <c r="D27" s="162">
        <v>2016</v>
      </c>
      <c r="E27" s="167">
        <f>SUM(F27:M27)</f>
        <v>22</v>
      </c>
      <c r="F27" s="165" t="s">
        <v>51</v>
      </c>
      <c r="G27" s="167">
        <v>7</v>
      </c>
      <c r="H27" s="165" t="s">
        <v>51</v>
      </c>
      <c r="I27" s="167">
        <v>2</v>
      </c>
      <c r="J27" s="167"/>
      <c r="K27" s="165" t="s">
        <v>51</v>
      </c>
      <c r="L27" s="167">
        <v>1</v>
      </c>
      <c r="M27" s="167">
        <v>12</v>
      </c>
    </row>
    <row r="28" spans="1:15" s="53" customFormat="1" ht="18" customHeight="1" x14ac:dyDescent="0.2">
      <c r="B28" s="85"/>
      <c r="C28" s="85"/>
      <c r="D28" s="162">
        <v>2017</v>
      </c>
      <c r="E28" s="167">
        <f t="shared" ref="E28:E29" si="7">SUM(F28:M28)</f>
        <v>31</v>
      </c>
      <c r="F28" s="165">
        <v>1</v>
      </c>
      <c r="G28" s="167">
        <v>11</v>
      </c>
      <c r="H28" s="165" t="s">
        <v>51</v>
      </c>
      <c r="I28" s="167">
        <v>6</v>
      </c>
      <c r="J28" s="167"/>
      <c r="K28" s="165" t="s">
        <v>51</v>
      </c>
      <c r="L28" s="167">
        <v>1</v>
      </c>
      <c r="M28" s="167">
        <v>12</v>
      </c>
    </row>
    <row r="29" spans="1:15" s="53" customFormat="1" ht="18" customHeight="1" x14ac:dyDescent="0.2">
      <c r="B29" s="85"/>
      <c r="C29" s="85"/>
      <c r="D29" s="162">
        <v>2018</v>
      </c>
      <c r="E29" s="167">
        <f t="shared" si="7"/>
        <v>13</v>
      </c>
      <c r="F29" s="328" t="s">
        <v>51</v>
      </c>
      <c r="G29" s="117">
        <v>3</v>
      </c>
      <c r="H29" s="165" t="s">
        <v>51</v>
      </c>
      <c r="I29" s="117">
        <v>2</v>
      </c>
      <c r="J29" s="117"/>
      <c r="K29" s="165" t="s">
        <v>51</v>
      </c>
      <c r="L29" s="117">
        <v>6</v>
      </c>
      <c r="M29" s="117">
        <v>2</v>
      </c>
    </row>
    <row r="30" spans="1:15" s="53" customFormat="1" ht="8.1" customHeight="1" thickBot="1" x14ac:dyDescent="0.25">
      <c r="A30" s="219"/>
      <c r="B30" s="220"/>
      <c r="C30" s="220"/>
      <c r="D30" s="72"/>
      <c r="E30" s="221"/>
      <c r="F30" s="222"/>
      <c r="G30" s="222"/>
      <c r="H30" s="222"/>
      <c r="I30" s="222"/>
      <c r="J30" s="222"/>
      <c r="K30" s="222"/>
      <c r="L30" s="222"/>
      <c r="M30" s="223"/>
      <c r="N30" s="219"/>
    </row>
    <row r="31" spans="1:15" s="53" customFormat="1" ht="8.1" customHeight="1" x14ac:dyDescent="0.2">
      <c r="B31" s="118"/>
      <c r="C31" s="118"/>
      <c r="D31" s="162"/>
      <c r="E31" s="66"/>
      <c r="F31" s="117"/>
      <c r="G31" s="117"/>
      <c r="H31" s="117"/>
      <c r="I31" s="117"/>
      <c r="J31" s="117"/>
      <c r="K31" s="117"/>
      <c r="L31" s="117"/>
      <c r="M31" s="213"/>
    </row>
    <row r="32" spans="1:15" s="53" customFormat="1" ht="18" customHeight="1" x14ac:dyDescent="0.2">
      <c r="B32" s="226" t="s">
        <v>50</v>
      </c>
      <c r="C32" s="226"/>
      <c r="D32" s="227">
        <v>2016</v>
      </c>
      <c r="E32" s="329">
        <f>SUM(F32:M32)</f>
        <v>1038</v>
      </c>
      <c r="F32" s="329">
        <f>SUM(F36,F40,F44,F48,F52)</f>
        <v>28</v>
      </c>
      <c r="G32" s="329">
        <f t="shared" ref="G32" si="8">SUM(G36,G40,G44,G48,G52)</f>
        <v>65</v>
      </c>
      <c r="H32" s="329">
        <f t="shared" ref="H32:I32" si="9">SUM(H36,H40,H44,H48,H52)</f>
        <v>2</v>
      </c>
      <c r="I32" s="329">
        <f t="shared" si="9"/>
        <v>406</v>
      </c>
      <c r="J32" s="329"/>
      <c r="K32" s="329">
        <f t="shared" ref="K32:M32" si="10">SUM(K36,K40,K44,K48,K52)</f>
        <v>1</v>
      </c>
      <c r="L32" s="329">
        <f t="shared" si="10"/>
        <v>224</v>
      </c>
      <c r="M32" s="329">
        <f t="shared" si="10"/>
        <v>312</v>
      </c>
    </row>
    <row r="33" spans="2:13" s="53" customFormat="1" ht="18" customHeight="1" x14ac:dyDescent="0.2">
      <c r="B33" s="226"/>
      <c r="C33" s="226"/>
      <c r="D33" s="227">
        <v>2017</v>
      </c>
      <c r="E33" s="329">
        <f>SUM(F33:M33)</f>
        <v>1078</v>
      </c>
      <c r="F33" s="329">
        <f t="shared" ref="F33:G34" si="11">SUM(F37,F41,F45,F49,F53)</f>
        <v>17</v>
      </c>
      <c r="G33" s="329">
        <f t="shared" si="11"/>
        <v>80</v>
      </c>
      <c r="H33" s="445" t="s">
        <v>51</v>
      </c>
      <c r="I33" s="329">
        <f t="shared" ref="I33" si="12">SUM(I37,I41,I45,I49,I53)</f>
        <v>481</v>
      </c>
      <c r="J33" s="329"/>
      <c r="K33" s="445" t="s">
        <v>51</v>
      </c>
      <c r="L33" s="329">
        <f t="shared" ref="L33:M33" si="13">SUM(L37,L41,L45,L49,L53)</f>
        <v>225</v>
      </c>
      <c r="M33" s="329">
        <f t="shared" si="13"/>
        <v>275</v>
      </c>
    </row>
    <row r="34" spans="2:13" s="53" customFormat="1" ht="18" customHeight="1" x14ac:dyDescent="0.2">
      <c r="B34" s="226"/>
      <c r="C34" s="226"/>
      <c r="D34" s="227">
        <v>2018</v>
      </c>
      <c r="E34" s="329">
        <f>SUM(F34:M34)</f>
        <v>890</v>
      </c>
      <c r="F34" s="329">
        <f t="shared" si="11"/>
        <v>21</v>
      </c>
      <c r="G34" s="329">
        <f t="shared" si="11"/>
        <v>72</v>
      </c>
      <c r="H34" s="445" t="s">
        <v>51</v>
      </c>
      <c r="I34" s="329">
        <f t="shared" ref="I34" si="14">SUM(I38,I42,I46,I50,I54)</f>
        <v>301</v>
      </c>
      <c r="J34" s="329"/>
      <c r="K34" s="329">
        <f t="shared" ref="K34:M34" si="15">SUM(K38,K42,K46,K50,K54)</f>
        <v>1</v>
      </c>
      <c r="L34" s="329">
        <f t="shared" si="15"/>
        <v>200</v>
      </c>
      <c r="M34" s="329">
        <f t="shared" si="15"/>
        <v>295</v>
      </c>
    </row>
    <row r="35" spans="2:13" s="53" customFormat="1" ht="18" customHeight="1" x14ac:dyDescent="0.2">
      <c r="B35" s="226"/>
      <c r="C35" s="226"/>
      <c r="D35" s="230"/>
      <c r="E35" s="329"/>
      <c r="F35" s="329"/>
      <c r="G35" s="329"/>
      <c r="H35" s="329"/>
      <c r="I35" s="329"/>
      <c r="J35" s="329"/>
      <c r="K35" s="329"/>
      <c r="L35" s="329"/>
      <c r="M35" s="329"/>
    </row>
    <row r="36" spans="2:13" s="53" customFormat="1" ht="18" customHeight="1" x14ac:dyDescent="0.2">
      <c r="B36" s="235" t="s">
        <v>87</v>
      </c>
      <c r="C36" s="235"/>
      <c r="D36" s="230">
        <v>2016</v>
      </c>
      <c r="E36" s="330">
        <f>SUM(F36:M36)</f>
        <v>90</v>
      </c>
      <c r="F36" s="273">
        <v>3</v>
      </c>
      <c r="G36" s="273">
        <v>11</v>
      </c>
      <c r="H36" s="165" t="s">
        <v>51</v>
      </c>
      <c r="I36" s="273">
        <v>28</v>
      </c>
      <c r="J36" s="273"/>
      <c r="K36" s="165" t="s">
        <v>51</v>
      </c>
      <c r="L36" s="273">
        <v>17</v>
      </c>
      <c r="M36" s="273">
        <v>31</v>
      </c>
    </row>
    <row r="37" spans="2:13" s="53" customFormat="1" ht="18" customHeight="1" x14ac:dyDescent="0.2">
      <c r="B37" s="235"/>
      <c r="C37" s="235"/>
      <c r="D37" s="230">
        <v>2017</v>
      </c>
      <c r="E37" s="331">
        <f>SUM(F37:M37)</f>
        <v>89</v>
      </c>
      <c r="F37" s="165" t="s">
        <v>51</v>
      </c>
      <c r="G37" s="167">
        <v>11</v>
      </c>
      <c r="H37" s="165" t="s">
        <v>51</v>
      </c>
      <c r="I37" s="167">
        <v>35</v>
      </c>
      <c r="J37" s="167"/>
      <c r="K37" s="165" t="s">
        <v>51</v>
      </c>
      <c r="L37" s="167">
        <v>10</v>
      </c>
      <c r="M37" s="167">
        <v>33</v>
      </c>
    </row>
    <row r="38" spans="2:13" s="53" customFormat="1" ht="18" customHeight="1" x14ac:dyDescent="0.2">
      <c r="B38" s="235"/>
      <c r="C38" s="235"/>
      <c r="D38" s="230">
        <v>2018</v>
      </c>
      <c r="E38" s="330">
        <f>SUM(F38:M38)</f>
        <v>64</v>
      </c>
      <c r="F38" s="117">
        <f>1</f>
        <v>1</v>
      </c>
      <c r="G38" s="117">
        <f>7</f>
        <v>7</v>
      </c>
      <c r="H38" s="165" t="s">
        <v>51</v>
      </c>
      <c r="I38" s="117">
        <v>18</v>
      </c>
      <c r="J38" s="117"/>
      <c r="K38" s="165" t="s">
        <v>51</v>
      </c>
      <c r="L38" s="117">
        <v>6</v>
      </c>
      <c r="M38" s="117">
        <f>32</f>
        <v>32</v>
      </c>
    </row>
    <row r="39" spans="2:13" s="53" customFormat="1" ht="18" customHeight="1" x14ac:dyDescent="0.2">
      <c r="B39" s="235"/>
      <c r="C39" s="235"/>
      <c r="D39" s="230"/>
      <c r="E39" s="330"/>
      <c r="F39" s="165"/>
      <c r="G39" s="167"/>
      <c r="H39" s="167"/>
      <c r="I39" s="167"/>
      <c r="J39" s="167"/>
      <c r="K39" s="167"/>
      <c r="L39" s="167"/>
      <c r="M39" s="167"/>
    </row>
    <row r="40" spans="2:13" s="53" customFormat="1" ht="18" customHeight="1" x14ac:dyDescent="0.2">
      <c r="B40" s="235" t="s">
        <v>88</v>
      </c>
      <c r="C40" s="235"/>
      <c r="D40" s="230">
        <v>2016</v>
      </c>
      <c r="E40" s="330">
        <f>SUM(F40:M40)</f>
        <v>135</v>
      </c>
      <c r="F40" s="273">
        <v>3</v>
      </c>
      <c r="G40" s="273">
        <v>10</v>
      </c>
      <c r="H40" s="165" t="s">
        <v>51</v>
      </c>
      <c r="I40" s="273">
        <v>66</v>
      </c>
      <c r="J40" s="273"/>
      <c r="K40" s="165" t="s">
        <v>51</v>
      </c>
      <c r="L40" s="273">
        <v>17</v>
      </c>
      <c r="M40" s="273">
        <v>39</v>
      </c>
    </row>
    <row r="41" spans="2:13" s="53" customFormat="1" ht="18" customHeight="1" x14ac:dyDescent="0.2">
      <c r="B41" s="235"/>
      <c r="C41" s="235"/>
      <c r="D41" s="230">
        <v>2017</v>
      </c>
      <c r="E41" s="331">
        <f>SUM(F41:M41)</f>
        <v>138</v>
      </c>
      <c r="F41" s="167">
        <v>3</v>
      </c>
      <c r="G41" s="167">
        <v>7</v>
      </c>
      <c r="H41" s="165" t="s">
        <v>51</v>
      </c>
      <c r="I41" s="167">
        <v>74</v>
      </c>
      <c r="J41" s="167"/>
      <c r="K41" s="165" t="s">
        <v>51</v>
      </c>
      <c r="L41" s="167">
        <v>20</v>
      </c>
      <c r="M41" s="167">
        <v>34</v>
      </c>
    </row>
    <row r="42" spans="2:13" s="53" customFormat="1" ht="18" customHeight="1" x14ac:dyDescent="0.2">
      <c r="B42" s="235"/>
      <c r="C42" s="235"/>
      <c r="D42" s="230">
        <v>2018</v>
      </c>
      <c r="E42" s="331">
        <f>SUM(F42:M42)</f>
        <v>125</v>
      </c>
      <c r="F42" s="117">
        <f>2</f>
        <v>2</v>
      </c>
      <c r="G42" s="117">
        <f>14</f>
        <v>14</v>
      </c>
      <c r="H42" s="165" t="s">
        <v>51</v>
      </c>
      <c r="I42" s="117">
        <v>40</v>
      </c>
      <c r="J42" s="117"/>
      <c r="K42" s="165" t="s">
        <v>51</v>
      </c>
      <c r="L42" s="117">
        <v>23</v>
      </c>
      <c r="M42" s="117">
        <f>46</f>
        <v>46</v>
      </c>
    </row>
    <row r="43" spans="2:13" s="53" customFormat="1" ht="18" customHeight="1" x14ac:dyDescent="0.2">
      <c r="B43" s="235"/>
      <c r="C43" s="235"/>
      <c r="D43" s="230"/>
      <c r="E43" s="330"/>
      <c r="F43" s="167"/>
      <c r="G43" s="167"/>
      <c r="H43" s="167"/>
      <c r="I43" s="167"/>
      <c r="J43" s="167"/>
      <c r="K43" s="167"/>
      <c r="L43" s="167"/>
      <c r="M43" s="167"/>
    </row>
    <row r="44" spans="2:13" s="53" customFormat="1" ht="18" customHeight="1" x14ac:dyDescent="0.2">
      <c r="B44" s="235" t="s">
        <v>89</v>
      </c>
      <c r="C44" s="235"/>
      <c r="D44" s="230">
        <v>2016</v>
      </c>
      <c r="E44" s="330">
        <f>SUM(F44:M44)</f>
        <v>338</v>
      </c>
      <c r="F44" s="273">
        <v>8</v>
      </c>
      <c r="G44" s="273">
        <v>23</v>
      </c>
      <c r="H44" s="165" t="s">
        <v>51</v>
      </c>
      <c r="I44" s="273">
        <v>151</v>
      </c>
      <c r="J44" s="273"/>
      <c r="K44" s="165" t="s">
        <v>51</v>
      </c>
      <c r="L44" s="273">
        <v>69</v>
      </c>
      <c r="M44" s="273">
        <v>87</v>
      </c>
    </row>
    <row r="45" spans="2:13" s="53" customFormat="1" ht="18" customHeight="1" x14ac:dyDescent="0.2">
      <c r="B45" s="235"/>
      <c r="C45" s="235"/>
      <c r="D45" s="230">
        <v>2017</v>
      </c>
      <c r="E45" s="331">
        <f>SUM(F45:M45)</f>
        <v>322</v>
      </c>
      <c r="F45" s="167">
        <v>6</v>
      </c>
      <c r="G45" s="167">
        <v>35</v>
      </c>
      <c r="H45" s="165" t="s">
        <v>51</v>
      </c>
      <c r="I45" s="167">
        <v>168</v>
      </c>
      <c r="J45" s="167"/>
      <c r="K45" s="165" t="s">
        <v>51</v>
      </c>
      <c r="L45" s="167">
        <v>62</v>
      </c>
      <c r="M45" s="167">
        <v>51</v>
      </c>
    </row>
    <row r="46" spans="2:13" s="53" customFormat="1" ht="18" customHeight="1" x14ac:dyDescent="0.2">
      <c r="B46" s="235"/>
      <c r="C46" s="235"/>
      <c r="D46" s="230">
        <v>2018</v>
      </c>
      <c r="E46" s="331">
        <f>SUM(F46:M46)</f>
        <v>268</v>
      </c>
      <c r="F46" s="117">
        <f>7</f>
        <v>7</v>
      </c>
      <c r="G46" s="117">
        <f>12</f>
        <v>12</v>
      </c>
      <c r="H46" s="165" t="s">
        <v>51</v>
      </c>
      <c r="I46" s="117">
        <v>129</v>
      </c>
      <c r="J46" s="117"/>
      <c r="K46" s="165" t="s">
        <v>51</v>
      </c>
      <c r="L46" s="117">
        <v>38</v>
      </c>
      <c r="M46" s="117">
        <f>82</f>
        <v>82</v>
      </c>
    </row>
    <row r="47" spans="2:13" s="53" customFormat="1" ht="18" customHeight="1" x14ac:dyDescent="0.2">
      <c r="B47" s="235"/>
      <c r="C47" s="235"/>
      <c r="D47" s="230"/>
      <c r="E47" s="330"/>
      <c r="F47" s="167"/>
      <c r="G47" s="167"/>
      <c r="H47" s="167"/>
      <c r="I47" s="167"/>
      <c r="J47" s="167"/>
      <c r="K47" s="167"/>
      <c r="L47" s="167"/>
      <c r="M47" s="167"/>
    </row>
    <row r="48" spans="2:13" s="53" customFormat="1" ht="18" customHeight="1" x14ac:dyDescent="0.2">
      <c r="B48" s="235" t="s">
        <v>90</v>
      </c>
      <c r="C48" s="235"/>
      <c r="D48" s="230">
        <v>2016</v>
      </c>
      <c r="E48" s="330">
        <f>SUM(F48:M48)</f>
        <v>166</v>
      </c>
      <c r="F48" s="273">
        <v>4</v>
      </c>
      <c r="G48" s="273">
        <v>11</v>
      </c>
      <c r="H48" s="165" t="s">
        <v>51</v>
      </c>
      <c r="I48" s="273">
        <v>69</v>
      </c>
      <c r="J48" s="273"/>
      <c r="K48" s="273">
        <v>1</v>
      </c>
      <c r="L48" s="273">
        <v>37</v>
      </c>
      <c r="M48" s="273">
        <v>44</v>
      </c>
    </row>
    <row r="49" spans="1:14" s="53" customFormat="1" ht="18" customHeight="1" x14ac:dyDescent="0.2">
      <c r="B49" s="235"/>
      <c r="C49" s="235"/>
      <c r="D49" s="230">
        <v>2017</v>
      </c>
      <c r="E49" s="331">
        <f>SUM(F49:M49)</f>
        <v>159</v>
      </c>
      <c r="F49" s="167">
        <v>2</v>
      </c>
      <c r="G49" s="167">
        <v>14</v>
      </c>
      <c r="H49" s="165" t="s">
        <v>51</v>
      </c>
      <c r="I49" s="167">
        <v>64</v>
      </c>
      <c r="J49" s="167"/>
      <c r="K49" s="165" t="s">
        <v>51</v>
      </c>
      <c r="L49" s="167">
        <v>26</v>
      </c>
      <c r="M49" s="167">
        <v>53</v>
      </c>
    </row>
    <row r="50" spans="1:14" s="53" customFormat="1" ht="18" customHeight="1" x14ac:dyDescent="0.2">
      <c r="B50" s="235"/>
      <c r="C50" s="235"/>
      <c r="D50" s="230">
        <v>2018</v>
      </c>
      <c r="E50" s="331">
        <f>SUM(F50:M50)</f>
        <v>150</v>
      </c>
      <c r="F50" s="117">
        <f>5</f>
        <v>5</v>
      </c>
      <c r="G50" s="117">
        <f>24</f>
        <v>24</v>
      </c>
      <c r="H50" s="165" t="s">
        <v>51</v>
      </c>
      <c r="I50" s="117">
        <v>36</v>
      </c>
      <c r="J50" s="117"/>
      <c r="K50" s="117">
        <v>1</v>
      </c>
      <c r="L50" s="117">
        <v>27</v>
      </c>
      <c r="M50" s="117">
        <f>57</f>
        <v>57</v>
      </c>
    </row>
    <row r="51" spans="1:14" s="53" customFormat="1" ht="18" customHeight="1" x14ac:dyDescent="0.2">
      <c r="B51" s="235"/>
      <c r="C51" s="235"/>
      <c r="D51" s="230"/>
      <c r="E51" s="330"/>
      <c r="F51" s="167"/>
      <c r="G51" s="167"/>
      <c r="H51" s="167"/>
      <c r="I51" s="167"/>
      <c r="J51" s="167"/>
      <c r="K51" s="167"/>
      <c r="L51" s="167"/>
      <c r="M51" s="167"/>
    </row>
    <row r="52" spans="1:14" s="53" customFormat="1" ht="18" customHeight="1" x14ac:dyDescent="0.2">
      <c r="B52" s="235" t="s">
        <v>91</v>
      </c>
      <c r="C52" s="235"/>
      <c r="D52" s="230">
        <v>2016</v>
      </c>
      <c r="E52" s="330">
        <f>SUM(F52:M52)</f>
        <v>309</v>
      </c>
      <c r="F52" s="273">
        <v>10</v>
      </c>
      <c r="G52" s="273">
        <v>10</v>
      </c>
      <c r="H52" s="273">
        <v>2</v>
      </c>
      <c r="I52" s="273">
        <v>92</v>
      </c>
      <c r="J52" s="273"/>
      <c r="K52" s="165" t="s">
        <v>51</v>
      </c>
      <c r="L52" s="273">
        <v>84</v>
      </c>
      <c r="M52" s="273">
        <v>111</v>
      </c>
    </row>
    <row r="53" spans="1:14" s="53" customFormat="1" ht="18" customHeight="1" x14ac:dyDescent="0.2">
      <c r="B53" s="235"/>
      <c r="C53" s="235"/>
      <c r="D53" s="230">
        <v>2017</v>
      </c>
      <c r="E53" s="331">
        <f>SUM(F53:M53)</f>
        <v>370</v>
      </c>
      <c r="F53" s="167">
        <v>6</v>
      </c>
      <c r="G53" s="167">
        <v>13</v>
      </c>
      <c r="H53" s="165" t="s">
        <v>51</v>
      </c>
      <c r="I53" s="167">
        <v>140</v>
      </c>
      <c r="J53" s="167"/>
      <c r="K53" s="165" t="s">
        <v>51</v>
      </c>
      <c r="L53" s="167">
        <v>107</v>
      </c>
      <c r="M53" s="167">
        <v>104</v>
      </c>
    </row>
    <row r="54" spans="1:14" s="53" customFormat="1" ht="18" customHeight="1" x14ac:dyDescent="0.2">
      <c r="B54" s="235"/>
      <c r="C54" s="235"/>
      <c r="D54" s="230">
        <v>2018</v>
      </c>
      <c r="E54" s="331">
        <f>SUM(F54:M54)</f>
        <v>283</v>
      </c>
      <c r="F54" s="117">
        <f>6</f>
        <v>6</v>
      </c>
      <c r="G54" s="117">
        <f>15</f>
        <v>15</v>
      </c>
      <c r="H54" s="165" t="s">
        <v>51</v>
      </c>
      <c r="I54" s="117">
        <v>78</v>
      </c>
      <c r="J54" s="117"/>
      <c r="K54" s="165" t="s">
        <v>51</v>
      </c>
      <c r="L54" s="117">
        <v>106</v>
      </c>
      <c r="M54" s="117">
        <f>78</f>
        <v>78</v>
      </c>
    </row>
    <row r="55" spans="1:14" s="53" customFormat="1" ht="8.1" customHeight="1" thickBot="1" x14ac:dyDescent="0.25">
      <c r="A55" s="219"/>
      <c r="B55" s="220"/>
      <c r="C55" s="220"/>
      <c r="D55" s="220"/>
      <c r="E55" s="221"/>
      <c r="F55" s="222"/>
      <c r="G55" s="222"/>
      <c r="H55" s="222"/>
      <c r="I55" s="222"/>
      <c r="J55" s="222"/>
      <c r="K55" s="222"/>
      <c r="L55" s="222"/>
      <c r="M55" s="223"/>
      <c r="N55" s="219"/>
    </row>
    <row r="56" spans="1:14" s="53" customFormat="1" ht="12.75" x14ac:dyDescent="0.2">
      <c r="B56" s="118"/>
      <c r="C56" s="118"/>
      <c r="D56" s="118"/>
      <c r="E56" s="66"/>
      <c r="F56" s="117"/>
      <c r="G56" s="117"/>
      <c r="H56" s="117"/>
      <c r="I56" s="117"/>
      <c r="J56" s="117"/>
      <c r="K56" s="117"/>
      <c r="L56" s="117"/>
      <c r="M56" s="213"/>
      <c r="N56" s="8" t="s">
        <v>101</v>
      </c>
    </row>
    <row r="57" spans="1:14" s="53" customFormat="1" ht="12.75" x14ac:dyDescent="0.2">
      <c r="B57" s="118"/>
      <c r="C57" s="118"/>
      <c r="D57" s="118"/>
      <c r="E57" s="66"/>
      <c r="F57" s="117"/>
      <c r="G57" s="117"/>
      <c r="H57" s="117"/>
      <c r="I57" s="117"/>
      <c r="J57" s="117"/>
      <c r="K57" s="117"/>
      <c r="L57" s="117"/>
      <c r="M57" s="213"/>
      <c r="N57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showGridLines="0" tabSelected="1" topLeftCell="A4" zoomScale="85" zoomScaleNormal="85" zoomScaleSheetLayoutView="100" workbookViewId="0">
      <selection activeCell="J23" sqref="J23"/>
    </sheetView>
  </sheetViews>
  <sheetFormatPr defaultRowHeight="15" x14ac:dyDescent="0.25"/>
  <cols>
    <col min="1" max="1" width="1.5703125" style="2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6" width="10.7109375" style="22" customWidth="1"/>
    <col min="7" max="7" width="9.140625" style="22" customWidth="1"/>
    <col min="8" max="8" width="11.42578125" style="22" customWidth="1"/>
    <col min="9" max="9" width="14.85546875" style="22" customWidth="1"/>
    <col min="10" max="10" width="1.7109375" style="22" customWidth="1"/>
    <col min="11" max="11" width="11.42578125" style="22" customWidth="1"/>
    <col min="12" max="12" width="14.85546875" style="22" customWidth="1"/>
    <col min="13" max="13" width="15.5703125" style="234" customWidth="1"/>
    <col min="14" max="14" width="1.42578125" style="2" customWidth="1"/>
    <col min="15" max="16384" width="9.140625" style="2"/>
  </cols>
  <sheetData>
    <row r="1" spans="1:14" ht="9.9499999999999993" customHeight="1" x14ac:dyDescent="0.25">
      <c r="B1" s="3" t="s">
        <v>203</v>
      </c>
      <c r="M1" s="5"/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105" customFormat="1" ht="20.100000000000001" customHeight="1" x14ac:dyDescent="0.2">
      <c r="B15" s="127" t="s">
        <v>155</v>
      </c>
      <c r="C15" s="127"/>
      <c r="D15" s="65">
        <v>2016</v>
      </c>
      <c r="E15" s="166">
        <f>SUM(F15:M15)</f>
        <v>647</v>
      </c>
      <c r="F15" s="166">
        <f>SUM(F19,F23,F27,F31,F35,F39,F43,F47,F51,'1.5Sabah (2)'!F17,'1.5Sabah (2)'!F21,'1.5Sabah (2)'!F25,'1.5Sabah (2)'!F29,'1.5Sabah (2)'!F33,'1.5Sabah (2)'!F37,'1.5Sabah (2)'!F41,'1.5Sabah (2)'!F45,'1.5Sabah (2)'!F49,'1.5Sabah (2)'!F53,'1.5Sabah (2)'!F57)</f>
        <v>60</v>
      </c>
      <c r="G15" s="166">
        <f>SUM(G19,G23,G27,G31,G35,G39,G43,G47,G51,'1.5Sabah (2)'!G17,'1.5Sabah (2)'!G21,'1.5Sabah (2)'!G25,'1.5Sabah (2)'!G29,'1.5Sabah (2)'!G33,'1.5Sabah (2)'!G37,'1.5Sabah (2)'!G41,'1.5Sabah (2)'!G45,'1.5Sabah (2)'!G49,'1.5Sabah (2)'!G53,'1.5Sabah (2)'!G57)</f>
        <v>193</v>
      </c>
      <c r="H15" s="166">
        <f>SUM(H19,H23,H27,H31,H35,H39,H43,H47,H51,'1.5Sabah (2)'!H17,'1.5Sabah (2)'!H21,'1.5Sabah (2)'!H25,'1.5Sabah (2)'!H29,'1.5Sabah (2)'!H33,'1.5Sabah (2)'!H37,'1.5Sabah (2)'!H41,'1.5Sabah (2)'!H45,'1.5Sabah (2)'!H49,'1.5Sabah (2)'!H53,'1.5Sabah (2)'!H57)</f>
        <v>3</v>
      </c>
      <c r="I15" s="166">
        <f>SUM(I19,I23,I27,I31,I35,I39,I43,I47,I51,'1.5Sabah (2)'!I17,'1.5Sabah (2)'!I21,'1.5Sabah (2)'!I25,'1.5Sabah (2)'!I29,'1.5Sabah (2)'!I33,'1.5Sabah (2)'!I37,'1.5Sabah (2)'!I41,'1.5Sabah (2)'!I45,'1.5Sabah (2)'!I49,'1.5Sabah (2)'!I53,'1.5Sabah (2)'!I57)</f>
        <v>118</v>
      </c>
      <c r="J15" s="166"/>
      <c r="K15" s="143" t="s">
        <v>51</v>
      </c>
      <c r="L15" s="166">
        <f>SUM(L19,L23,L27,L31,L35,L39,L43,L47,L51,'1.5Sabah (2)'!L17,'1.5Sabah (2)'!L21,'1.5Sabah (2)'!L25,'1.5Sabah (2)'!L29,'1.5Sabah (2)'!L33,'1.5Sabah (2)'!L37,'1.5Sabah (2)'!L41,'1.5Sabah (2)'!L45,'1.5Sabah (2)'!L49,'1.5Sabah (2)'!L53,'1.5Sabah (2)'!L57)</f>
        <v>60</v>
      </c>
      <c r="M15" s="166">
        <f>SUM(M19,M23,M27,M31,M35,M39,M43,M47,M51,'1.5Sabah (2)'!M17,'1.5Sabah (2)'!M21,'1.5Sabah (2)'!M25,'1.5Sabah (2)'!M29,'1.5Sabah (2)'!M33,'1.5Sabah (2)'!M37,'1.5Sabah (2)'!M41,'1.5Sabah (2)'!M45,'1.5Sabah (2)'!M49,'1.5Sabah (2)'!M53,'1.5Sabah (2)'!M57)</f>
        <v>213</v>
      </c>
    </row>
    <row r="16" spans="1:14" s="105" customFormat="1" ht="20.100000000000001" customHeight="1" x14ac:dyDescent="0.2">
      <c r="B16" s="127"/>
      <c r="C16" s="127"/>
      <c r="D16" s="65">
        <v>2017</v>
      </c>
      <c r="E16" s="166">
        <f>SUM(F16:M16)</f>
        <v>761</v>
      </c>
      <c r="F16" s="166">
        <f>SUM(F20,F24,F28,F32,F36,F40,F44,F48,F52,'1.5Sabah (2)'!F18,'1.5Sabah (2)'!F22,'1.5Sabah (2)'!F26,'1.5Sabah (2)'!F30,'1.5Sabah (2)'!F34,'1.5Sabah (2)'!F38,'1.5Sabah (2)'!F42,'1.5Sabah (2)'!F46,'1.5Sabah (2)'!F50,'1.5Sabah (2)'!F54,'1.5Sabah (2)'!F58)</f>
        <v>36</v>
      </c>
      <c r="G16" s="166">
        <f>SUM(G20,G24,G28,G32,G36,G40,G44,G48,G52,'1.5Sabah (2)'!G18,'1.5Sabah (2)'!G22,'1.5Sabah (2)'!G26,'1.5Sabah (2)'!G30,'1.5Sabah (2)'!G34,'1.5Sabah (2)'!G38,'1.5Sabah (2)'!G42,'1.5Sabah (2)'!G46,'1.5Sabah (2)'!G50,'1.5Sabah (2)'!G54,'1.5Sabah (2)'!G58)</f>
        <v>211</v>
      </c>
      <c r="H16" s="143" t="s">
        <v>51</v>
      </c>
      <c r="I16" s="166">
        <f>SUM(I20,I24,I28,I32,I36,I40,I44,I48,I52,'1.5Sabah (2)'!I18,'1.5Sabah (2)'!I22,'1.5Sabah (2)'!I26,'1.5Sabah (2)'!I30,'1.5Sabah (2)'!I34,'1.5Sabah (2)'!I38,'1.5Sabah (2)'!I42,'1.5Sabah (2)'!I46,'1.5Sabah (2)'!I50,'1.5Sabah (2)'!I54,'1.5Sabah (2)'!I58)</f>
        <v>163</v>
      </c>
      <c r="J16" s="166"/>
      <c r="K16" s="143" t="s">
        <v>51</v>
      </c>
      <c r="L16" s="166">
        <f>SUM(L20,L24,L28,L32,L36,L40,L44,L48,L52,'1.5Sabah (2)'!L18,'1.5Sabah (2)'!L22,'1.5Sabah (2)'!L26,'1.5Sabah (2)'!L30,'1.5Sabah (2)'!L34,'1.5Sabah (2)'!L38,'1.5Sabah (2)'!L42,'1.5Sabah (2)'!L46,'1.5Sabah (2)'!L50,'1.5Sabah (2)'!L54,'1.5Sabah (2)'!L58)</f>
        <v>121</v>
      </c>
      <c r="M16" s="166">
        <f>SUM(M20,M24,M28,M32,M36,M40,M44,M48,M52,'1.5Sabah (2)'!M18,'1.5Sabah (2)'!M22,'1.5Sabah (2)'!M26,'1.5Sabah (2)'!M30,'1.5Sabah (2)'!M34,'1.5Sabah (2)'!M38,'1.5Sabah (2)'!M42,'1.5Sabah (2)'!M46,'1.5Sabah (2)'!M50,'1.5Sabah (2)'!M54,'1.5Sabah (2)'!M58)</f>
        <v>230</v>
      </c>
    </row>
    <row r="17" spans="2:14" s="105" customFormat="1" ht="20.100000000000001" customHeight="1" x14ac:dyDescent="0.2">
      <c r="B17" s="127"/>
      <c r="C17" s="127"/>
      <c r="D17" s="65">
        <v>2018</v>
      </c>
      <c r="E17" s="166">
        <f>F17+G17+H17+M17</f>
        <v>432</v>
      </c>
      <c r="F17" s="166">
        <f>SUM(F21,F25,F29,F33,F37,F41,F45,F49,F53,'1.5Sabah (2)'!F19,'1.5Sabah (2)'!F23,'1.5Sabah (2)'!F27,'1.5Sabah (2)'!F31,'1.5Sabah (2)'!F35,'1.5Sabah (2)'!F39,'1.5Sabah (2)'!F43,'1.5Sabah (2)'!F47,'1.5Sabah (2)'!F51,'1.5Sabah (2)'!F55,'1.5Sabah (2)'!F59)</f>
        <v>37</v>
      </c>
      <c r="G17" s="166">
        <f>SUM(G21,G25,G29,G33,G37,G41,G45,G49,G53,'1.5Sabah (2)'!G19,'1.5Sabah (2)'!G23,'1.5Sabah (2)'!G27,'1.5Sabah (2)'!G31,'1.5Sabah (2)'!G35,'1.5Sabah (2)'!G39,'1.5Sabah (2)'!G43,'1.5Sabah (2)'!G47,'1.5Sabah (2)'!G51,'1.5Sabah (2)'!G55,'1.5Sabah (2)'!G59)</f>
        <v>178</v>
      </c>
      <c r="H17" s="166">
        <f>SUM(H21,H25,H29,H33,H37,H41,H45,H49,H53,'1.5Sabah (2)'!H19,'1.5Sabah (2)'!H23,'1.5Sabah (2)'!H27,'1.5Sabah (2)'!H31,'1.5Sabah (2)'!H35,'1.5Sabah (2)'!H39,'1.5Sabah (2)'!H43,'1.5Sabah (2)'!H47,'1.5Sabah (2)'!H51,'1.5Sabah (2)'!H55,'1.5Sabah (2)'!H59)</f>
        <v>1</v>
      </c>
      <c r="I17" s="166">
        <f>SUM(I21,I25,I29,I33,I37,I41,I45,I49,I53,'1.5Sabah (2)'!I19,'1.5Sabah (2)'!I23,'1.5Sabah (2)'!I27,'1.5Sabah (2)'!I31,'1.5Sabah (2)'!I35,'1.5Sabah (2)'!I39,'1.5Sabah (2)'!I43,'1.5Sabah (2)'!I47,'1.5Sabah (2)'!I51,'1.5Sabah (2)'!I55,'1.5Sabah (2)'!I59)</f>
        <v>71</v>
      </c>
      <c r="J17" s="166"/>
      <c r="K17" s="143" t="s">
        <v>51</v>
      </c>
      <c r="L17" s="166">
        <f>SUM(L21,L25,L29,L33,L37,L41,L45,L49,L53,'1.5Sabah (2)'!L19,'1.5Sabah (2)'!L23,'1.5Sabah (2)'!L27,'1.5Sabah (2)'!L31,'1.5Sabah (2)'!L35,'1.5Sabah (2)'!L39,'1.5Sabah (2)'!L43,'1.5Sabah (2)'!L47,'1.5Sabah (2)'!L51,'1.5Sabah (2)'!L55,'1.5Sabah (2)'!L59)</f>
        <v>77</v>
      </c>
      <c r="M17" s="166">
        <f>SUM(M21,M25,M29,M33,M37,M41,M45,M49,M53,'1.5Sabah (2)'!M19,'1.5Sabah (2)'!M23,'1.5Sabah (2)'!M27,'1.5Sabah (2)'!M31,'1.5Sabah (2)'!M35,'1.5Sabah (2)'!M39,'1.5Sabah (2)'!M43,'1.5Sabah (2)'!M47,'1.5Sabah (2)'!M51,'1.5Sabah (2)'!M55,'1.5Sabah (2)'!M59)</f>
        <v>216</v>
      </c>
      <c r="N17" s="166">
        <f>N21+N25+N29+N33+N37+N41+N45+N49+N53+'1.5Sabah (2)'!N19+'1.5Sabah (2)'!N23+'1.5Sabah (2)'!N27+'1.5Sabah (2)'!N31+'1.5Sabah (2)'!N35+'1.5Sabah (2)'!N39+'1.5Sabah (2)'!N43+'1.5Sabah (2)'!N47</f>
        <v>0</v>
      </c>
    </row>
    <row r="18" spans="2:14" s="105" customFormat="1" ht="20.100000000000001" customHeight="1" x14ac:dyDescent="0.2">
      <c r="B18" s="127"/>
      <c r="C18" s="127"/>
      <c r="D18" s="65"/>
      <c r="E18" s="166"/>
      <c r="F18" s="166"/>
      <c r="G18" s="166"/>
      <c r="H18" s="166"/>
      <c r="I18" s="166"/>
      <c r="J18" s="166"/>
      <c r="K18" s="166"/>
      <c r="L18" s="166"/>
      <c r="M18" s="121"/>
    </row>
    <row r="19" spans="2:14" s="105" customFormat="1" ht="20.100000000000001" customHeight="1" x14ac:dyDescent="0.2">
      <c r="B19" s="85" t="s">
        <v>156</v>
      </c>
      <c r="C19" s="85"/>
      <c r="D19" s="162">
        <v>2016</v>
      </c>
      <c r="E19" s="167">
        <f>SUM(F19:M19)</f>
        <v>16</v>
      </c>
      <c r="F19" s="380">
        <v>1</v>
      </c>
      <c r="G19" s="380">
        <v>11</v>
      </c>
      <c r="H19" s="382" t="s">
        <v>51</v>
      </c>
      <c r="I19" s="380">
        <v>2</v>
      </c>
      <c r="J19" s="380"/>
      <c r="K19" s="382" t="s">
        <v>51</v>
      </c>
      <c r="L19" s="382" t="s">
        <v>51</v>
      </c>
      <c r="M19" s="381">
        <v>2</v>
      </c>
    </row>
    <row r="20" spans="2:14" s="105" customFormat="1" ht="20.100000000000001" customHeight="1" x14ac:dyDescent="0.2">
      <c r="B20" s="85"/>
      <c r="C20" s="85"/>
      <c r="D20" s="162">
        <v>2017</v>
      </c>
      <c r="E20" s="167">
        <f>SUM(F20:M20)</f>
        <v>22</v>
      </c>
      <c r="F20" s="382" t="s">
        <v>51</v>
      </c>
      <c r="G20" s="380">
        <v>14</v>
      </c>
      <c r="H20" s="382" t="s">
        <v>51</v>
      </c>
      <c r="I20" s="380">
        <v>1</v>
      </c>
      <c r="J20" s="380"/>
      <c r="K20" s="382" t="s">
        <v>51</v>
      </c>
      <c r="L20" s="380">
        <v>2</v>
      </c>
      <c r="M20" s="381">
        <v>5</v>
      </c>
    </row>
    <row r="21" spans="2:14" s="105" customFormat="1" ht="20.100000000000001" customHeight="1" x14ac:dyDescent="0.2">
      <c r="B21" s="85"/>
      <c r="C21" s="85"/>
      <c r="D21" s="162">
        <v>2018</v>
      </c>
      <c r="E21" s="167">
        <f>SUM(F21:M21)</f>
        <v>12</v>
      </c>
      <c r="F21" s="383" t="s">
        <v>51</v>
      </c>
      <c r="G21" s="384">
        <f>7</f>
        <v>7</v>
      </c>
      <c r="H21" s="382" t="s">
        <v>51</v>
      </c>
      <c r="I21" s="384">
        <v>1</v>
      </c>
      <c r="J21" s="384"/>
      <c r="K21" s="382" t="s">
        <v>51</v>
      </c>
      <c r="L21" s="384">
        <v>2</v>
      </c>
      <c r="M21" s="384">
        <f>2</f>
        <v>2</v>
      </c>
    </row>
    <row r="22" spans="2:14" s="105" customFormat="1" ht="20.100000000000001" customHeight="1" x14ac:dyDescent="0.2">
      <c r="B22" s="85"/>
      <c r="C22" s="85"/>
      <c r="D22" s="162"/>
      <c r="E22" s="167"/>
      <c r="F22" s="380"/>
      <c r="G22" s="380"/>
      <c r="H22" s="380"/>
      <c r="I22" s="380"/>
      <c r="J22" s="380"/>
      <c r="K22" s="380"/>
      <c r="L22" s="380"/>
      <c r="M22" s="381"/>
    </row>
    <row r="23" spans="2:14" s="53" customFormat="1" ht="20.100000000000001" customHeight="1" x14ac:dyDescent="0.2">
      <c r="B23" s="85" t="s">
        <v>157</v>
      </c>
      <c r="C23" s="85"/>
      <c r="D23" s="162">
        <v>2016</v>
      </c>
      <c r="E23" s="167">
        <f>SUM(F23:M23)</f>
        <v>16</v>
      </c>
      <c r="F23" s="380">
        <v>5</v>
      </c>
      <c r="G23" s="380">
        <v>4</v>
      </c>
      <c r="H23" s="382" t="s">
        <v>51</v>
      </c>
      <c r="I23" s="380">
        <v>1</v>
      </c>
      <c r="J23" s="380"/>
      <c r="K23" s="382" t="s">
        <v>51</v>
      </c>
      <c r="L23" s="380">
        <v>1</v>
      </c>
      <c r="M23" s="381">
        <v>5</v>
      </c>
    </row>
    <row r="24" spans="2:14" s="53" customFormat="1" ht="20.100000000000001" customHeight="1" x14ac:dyDescent="0.2">
      <c r="B24" s="85"/>
      <c r="C24" s="85"/>
      <c r="D24" s="162">
        <v>2017</v>
      </c>
      <c r="E24" s="167">
        <f>SUM(F24:M24)</f>
        <v>21</v>
      </c>
      <c r="F24" s="380">
        <v>2</v>
      </c>
      <c r="G24" s="380">
        <v>12</v>
      </c>
      <c r="H24" s="382" t="s">
        <v>51</v>
      </c>
      <c r="I24" s="380">
        <v>3</v>
      </c>
      <c r="J24" s="380"/>
      <c r="K24" s="382" t="s">
        <v>51</v>
      </c>
      <c r="L24" s="380">
        <v>1</v>
      </c>
      <c r="M24" s="381">
        <v>3</v>
      </c>
    </row>
    <row r="25" spans="2:14" s="53" customFormat="1" ht="20.100000000000001" customHeight="1" x14ac:dyDescent="0.2">
      <c r="B25" s="85"/>
      <c r="C25" s="85"/>
      <c r="D25" s="162">
        <v>2018</v>
      </c>
      <c r="E25" s="167">
        <f>SUM(F25:M25)</f>
        <v>14</v>
      </c>
      <c r="F25" s="384">
        <f>2</f>
        <v>2</v>
      </c>
      <c r="G25" s="384">
        <f>6</f>
        <v>6</v>
      </c>
      <c r="H25" s="382" t="s">
        <v>51</v>
      </c>
      <c r="I25" s="382" t="s">
        <v>51</v>
      </c>
      <c r="J25" s="384"/>
      <c r="K25" s="382" t="s">
        <v>51</v>
      </c>
      <c r="L25" s="384">
        <v>1</v>
      </c>
      <c r="M25" s="384">
        <f>5</f>
        <v>5</v>
      </c>
    </row>
    <row r="26" spans="2:14" s="53" customFormat="1" ht="20.100000000000001" customHeight="1" x14ac:dyDescent="0.2">
      <c r="B26" s="85"/>
      <c r="C26" s="85"/>
      <c r="D26" s="162"/>
      <c r="E26" s="167"/>
      <c r="F26" s="380"/>
      <c r="G26" s="380"/>
      <c r="H26" s="380"/>
      <c r="I26" s="380"/>
      <c r="J26" s="380"/>
      <c r="K26" s="380"/>
      <c r="L26" s="380"/>
      <c r="M26" s="381"/>
    </row>
    <row r="27" spans="2:14" s="53" customFormat="1" ht="20.100000000000001" customHeight="1" x14ac:dyDescent="0.2">
      <c r="B27" s="85" t="s">
        <v>158</v>
      </c>
      <c r="C27" s="85"/>
      <c r="D27" s="162">
        <v>2016</v>
      </c>
      <c r="E27" s="167">
        <f>SUM(F27:M27)</f>
        <v>58</v>
      </c>
      <c r="F27" s="380">
        <v>6</v>
      </c>
      <c r="G27" s="380">
        <v>32</v>
      </c>
      <c r="H27" s="382" t="s">
        <v>51</v>
      </c>
      <c r="I27" s="380">
        <v>5</v>
      </c>
      <c r="J27" s="380"/>
      <c r="K27" s="382" t="s">
        <v>51</v>
      </c>
      <c r="L27" s="380">
        <v>1</v>
      </c>
      <c r="M27" s="381">
        <v>14</v>
      </c>
    </row>
    <row r="28" spans="2:14" s="53" customFormat="1" ht="20.100000000000001" customHeight="1" x14ac:dyDescent="0.2">
      <c r="B28" s="85"/>
      <c r="C28" s="85"/>
      <c r="D28" s="162">
        <v>2017</v>
      </c>
      <c r="E28" s="167">
        <f>SUM(F28:M28)</f>
        <v>39</v>
      </c>
      <c r="F28" s="380">
        <v>2</v>
      </c>
      <c r="G28" s="380">
        <v>11</v>
      </c>
      <c r="H28" s="382" t="s">
        <v>51</v>
      </c>
      <c r="I28" s="380">
        <v>7</v>
      </c>
      <c r="J28" s="380"/>
      <c r="K28" s="382" t="s">
        <v>51</v>
      </c>
      <c r="L28" s="380">
        <v>3</v>
      </c>
      <c r="M28" s="381">
        <v>16</v>
      </c>
    </row>
    <row r="29" spans="2:14" s="53" customFormat="1" ht="20.100000000000001" customHeight="1" x14ac:dyDescent="0.2">
      <c r="B29" s="85"/>
      <c r="C29" s="85"/>
      <c r="D29" s="162">
        <v>2018</v>
      </c>
      <c r="E29" s="167">
        <f>SUM(F29:M29)</f>
        <v>38</v>
      </c>
      <c r="F29" s="384">
        <v>2</v>
      </c>
      <c r="G29" s="384">
        <f>15</f>
        <v>15</v>
      </c>
      <c r="H29" s="382" t="s">
        <v>51</v>
      </c>
      <c r="I29" s="384">
        <v>3</v>
      </c>
      <c r="J29" s="384"/>
      <c r="K29" s="382" t="s">
        <v>51</v>
      </c>
      <c r="L29" s="384">
        <v>3</v>
      </c>
      <c r="M29" s="384">
        <f>15</f>
        <v>15</v>
      </c>
    </row>
    <row r="30" spans="2:14" s="53" customFormat="1" ht="20.100000000000001" customHeight="1" x14ac:dyDescent="0.2">
      <c r="B30" s="85"/>
      <c r="C30" s="85"/>
      <c r="D30" s="162"/>
      <c r="E30" s="165"/>
      <c r="F30" s="380"/>
      <c r="G30" s="380"/>
      <c r="H30" s="380"/>
      <c r="I30" s="380"/>
      <c r="J30" s="380"/>
      <c r="K30" s="380"/>
      <c r="L30" s="380"/>
      <c r="M30" s="381"/>
    </row>
    <row r="31" spans="2:14" s="53" customFormat="1" ht="20.100000000000001" customHeight="1" x14ac:dyDescent="0.2">
      <c r="B31" s="85" t="s">
        <v>159</v>
      </c>
      <c r="C31" s="85"/>
      <c r="D31" s="162">
        <v>2016</v>
      </c>
      <c r="E31" s="167">
        <f>SUM(F31:M31)</f>
        <v>22</v>
      </c>
      <c r="F31" s="382" t="s">
        <v>51</v>
      </c>
      <c r="G31" s="380">
        <v>9</v>
      </c>
      <c r="H31" s="382" t="s">
        <v>51</v>
      </c>
      <c r="I31" s="380">
        <v>3</v>
      </c>
      <c r="J31" s="380"/>
      <c r="K31" s="382" t="s">
        <v>51</v>
      </c>
      <c r="L31" s="380">
        <v>1</v>
      </c>
      <c r="M31" s="381">
        <v>9</v>
      </c>
    </row>
    <row r="32" spans="2:14" s="53" customFormat="1" ht="20.100000000000001" customHeight="1" x14ac:dyDescent="0.2">
      <c r="B32" s="85"/>
      <c r="C32" s="85"/>
      <c r="D32" s="162">
        <v>2017</v>
      </c>
      <c r="E32" s="167">
        <f>SUM(F32:M32)</f>
        <v>33</v>
      </c>
      <c r="F32" s="380">
        <v>2</v>
      </c>
      <c r="G32" s="380">
        <v>11</v>
      </c>
      <c r="H32" s="382" t="s">
        <v>51</v>
      </c>
      <c r="I32" s="380">
        <v>6</v>
      </c>
      <c r="J32" s="380"/>
      <c r="K32" s="382" t="s">
        <v>51</v>
      </c>
      <c r="L32" s="382" t="s">
        <v>51</v>
      </c>
      <c r="M32" s="381">
        <v>14</v>
      </c>
    </row>
    <row r="33" spans="2:13" s="53" customFormat="1" ht="20.100000000000001" customHeight="1" x14ac:dyDescent="0.2">
      <c r="B33" s="85"/>
      <c r="C33" s="85"/>
      <c r="D33" s="162">
        <v>2018</v>
      </c>
      <c r="E33" s="167">
        <f>SUM(F33:M33)</f>
        <v>20</v>
      </c>
      <c r="F33" s="384">
        <f>1</f>
        <v>1</v>
      </c>
      <c r="G33" s="384">
        <f>5</f>
        <v>5</v>
      </c>
      <c r="H33" s="382" t="s">
        <v>51</v>
      </c>
      <c r="I33" s="384">
        <v>1</v>
      </c>
      <c r="J33" s="384"/>
      <c r="K33" s="382" t="s">
        <v>51</v>
      </c>
      <c r="L33" s="382" t="s">
        <v>51</v>
      </c>
      <c r="M33" s="384">
        <f>13</f>
        <v>13</v>
      </c>
    </row>
    <row r="34" spans="2:13" s="53" customFormat="1" ht="20.100000000000001" customHeight="1" x14ac:dyDescent="0.2">
      <c r="B34" s="85"/>
      <c r="C34" s="85"/>
      <c r="D34" s="162"/>
      <c r="E34" s="167"/>
      <c r="F34" s="380"/>
      <c r="G34" s="380"/>
      <c r="H34" s="380"/>
      <c r="I34" s="380"/>
      <c r="J34" s="380"/>
      <c r="K34" s="380"/>
      <c r="L34" s="380"/>
      <c r="M34" s="381"/>
    </row>
    <row r="35" spans="2:13" s="53" customFormat="1" ht="20.100000000000001" customHeight="1" x14ac:dyDescent="0.2">
      <c r="B35" s="85" t="s">
        <v>160</v>
      </c>
      <c r="C35" s="85"/>
      <c r="D35" s="162">
        <v>2016</v>
      </c>
      <c r="E35" s="167">
        <f>SUM(F35:M35)</f>
        <v>107</v>
      </c>
      <c r="F35" s="380">
        <v>6</v>
      </c>
      <c r="G35" s="380">
        <v>29</v>
      </c>
      <c r="H35" s="382" t="s">
        <v>51</v>
      </c>
      <c r="I35" s="380">
        <v>28</v>
      </c>
      <c r="J35" s="380"/>
      <c r="K35" s="382" t="s">
        <v>51</v>
      </c>
      <c r="L35" s="380">
        <v>14</v>
      </c>
      <c r="M35" s="381">
        <v>30</v>
      </c>
    </row>
    <row r="36" spans="2:13" s="53" customFormat="1" ht="20.100000000000001" customHeight="1" x14ac:dyDescent="0.2">
      <c r="B36" s="85"/>
      <c r="C36" s="85"/>
      <c r="D36" s="162">
        <v>2017</v>
      </c>
      <c r="E36" s="167">
        <f>SUM(F36:M36)</f>
        <v>151</v>
      </c>
      <c r="F36" s="380">
        <v>3</v>
      </c>
      <c r="G36" s="380">
        <v>32</v>
      </c>
      <c r="H36" s="382" t="s">
        <v>51</v>
      </c>
      <c r="I36" s="380">
        <v>45</v>
      </c>
      <c r="J36" s="380"/>
      <c r="K36" s="382" t="s">
        <v>51</v>
      </c>
      <c r="L36" s="380">
        <v>37</v>
      </c>
      <c r="M36" s="381">
        <v>34</v>
      </c>
    </row>
    <row r="37" spans="2:13" s="53" customFormat="1" ht="20.100000000000001" customHeight="1" x14ac:dyDescent="0.2">
      <c r="B37" s="85"/>
      <c r="C37" s="85"/>
      <c r="D37" s="162">
        <v>2018</v>
      </c>
      <c r="E37" s="167">
        <f>SUM(F37:M37)</f>
        <v>98</v>
      </c>
      <c r="F37" s="384">
        <f>6</f>
        <v>6</v>
      </c>
      <c r="G37" s="384">
        <f>20</f>
        <v>20</v>
      </c>
      <c r="H37" s="382" t="s">
        <v>51</v>
      </c>
      <c r="I37" s="384">
        <v>18</v>
      </c>
      <c r="J37" s="384"/>
      <c r="K37" s="382" t="s">
        <v>51</v>
      </c>
      <c r="L37" s="384">
        <v>23</v>
      </c>
      <c r="M37" s="384">
        <f>31</f>
        <v>31</v>
      </c>
    </row>
    <row r="38" spans="2:13" s="53" customFormat="1" ht="20.100000000000001" customHeight="1" x14ac:dyDescent="0.2">
      <c r="B38" s="85"/>
      <c r="C38" s="85"/>
      <c r="D38" s="162"/>
      <c r="E38" s="167"/>
      <c r="F38" s="380"/>
      <c r="G38" s="380"/>
      <c r="H38" s="380"/>
      <c r="I38" s="380"/>
      <c r="J38" s="380"/>
      <c r="K38" s="380"/>
      <c r="L38" s="380"/>
      <c r="M38" s="381"/>
    </row>
    <row r="39" spans="2:13" s="53" customFormat="1" ht="20.100000000000001" customHeight="1" x14ac:dyDescent="0.2">
      <c r="B39" s="85" t="s">
        <v>161</v>
      </c>
      <c r="C39" s="85"/>
      <c r="D39" s="162">
        <v>2016</v>
      </c>
      <c r="E39" s="167">
        <f>SUM(F39:M39)</f>
        <v>18</v>
      </c>
      <c r="F39" s="380">
        <v>8</v>
      </c>
      <c r="G39" s="380">
        <v>4</v>
      </c>
      <c r="H39" s="382" t="s">
        <v>51</v>
      </c>
      <c r="I39" s="380">
        <v>2</v>
      </c>
      <c r="J39" s="380"/>
      <c r="K39" s="382" t="s">
        <v>51</v>
      </c>
      <c r="L39" s="382" t="s">
        <v>51</v>
      </c>
      <c r="M39" s="381">
        <v>4</v>
      </c>
    </row>
    <row r="40" spans="2:13" s="53" customFormat="1" ht="20.100000000000001" customHeight="1" x14ac:dyDescent="0.2">
      <c r="B40" s="85"/>
      <c r="C40" s="85"/>
      <c r="D40" s="162">
        <v>2017</v>
      </c>
      <c r="E40" s="167">
        <f>SUM(F40:M40)</f>
        <v>14</v>
      </c>
      <c r="F40" s="380">
        <v>2</v>
      </c>
      <c r="G40" s="380">
        <v>9</v>
      </c>
      <c r="H40" s="382" t="s">
        <v>51</v>
      </c>
      <c r="I40" s="382" t="s">
        <v>51</v>
      </c>
      <c r="J40" s="380"/>
      <c r="K40" s="382" t="s">
        <v>51</v>
      </c>
      <c r="L40" s="380">
        <v>1</v>
      </c>
      <c r="M40" s="381">
        <v>2</v>
      </c>
    </row>
    <row r="41" spans="2:13" s="53" customFormat="1" ht="20.100000000000001" customHeight="1" x14ac:dyDescent="0.2">
      <c r="B41" s="85"/>
      <c r="C41" s="85"/>
      <c r="D41" s="162">
        <v>2018</v>
      </c>
      <c r="E41" s="167">
        <f>SUM(F41:M41)</f>
        <v>16</v>
      </c>
      <c r="F41" s="384">
        <f>5</f>
        <v>5</v>
      </c>
      <c r="G41" s="384">
        <f>4</f>
        <v>4</v>
      </c>
      <c r="H41" s="382" t="s">
        <v>51</v>
      </c>
      <c r="I41" s="384">
        <v>2</v>
      </c>
      <c r="J41" s="384"/>
      <c r="K41" s="383" t="s">
        <v>51</v>
      </c>
      <c r="L41" s="382" t="s">
        <v>51</v>
      </c>
      <c r="M41" s="384">
        <f>5</f>
        <v>5</v>
      </c>
    </row>
    <row r="42" spans="2:13" s="53" customFormat="1" ht="20.100000000000001" customHeight="1" x14ac:dyDescent="0.2">
      <c r="B42" s="85"/>
      <c r="C42" s="85"/>
      <c r="D42" s="162"/>
      <c r="E42" s="167"/>
      <c r="F42" s="380"/>
      <c r="G42" s="380"/>
      <c r="H42" s="380"/>
      <c r="I42" s="380"/>
      <c r="J42" s="380"/>
      <c r="K42" s="380"/>
      <c r="L42" s="380"/>
      <c r="M42" s="381"/>
    </row>
    <row r="43" spans="2:13" s="53" customFormat="1" ht="20.100000000000001" customHeight="1" x14ac:dyDescent="0.2">
      <c r="B43" s="85" t="s">
        <v>162</v>
      </c>
      <c r="C43" s="85"/>
      <c r="D43" s="162">
        <v>2016</v>
      </c>
      <c r="E43" s="167">
        <f>SUM(F43:M43)</f>
        <v>18</v>
      </c>
      <c r="F43" s="380">
        <v>3</v>
      </c>
      <c r="G43" s="380">
        <v>7</v>
      </c>
      <c r="H43" s="382" t="s">
        <v>51</v>
      </c>
      <c r="I43" s="380">
        <v>1</v>
      </c>
      <c r="J43" s="380"/>
      <c r="K43" s="382" t="s">
        <v>51</v>
      </c>
      <c r="L43" s="382" t="s">
        <v>51</v>
      </c>
      <c r="M43" s="381">
        <v>7</v>
      </c>
    </row>
    <row r="44" spans="2:13" s="53" customFormat="1" ht="20.100000000000001" customHeight="1" x14ac:dyDescent="0.2">
      <c r="B44" s="85"/>
      <c r="C44" s="85"/>
      <c r="D44" s="162">
        <v>2017</v>
      </c>
      <c r="E44" s="167">
        <f>SUM(F44:M44)</f>
        <v>16</v>
      </c>
      <c r="F44" s="382" t="s">
        <v>51</v>
      </c>
      <c r="G44" s="380">
        <v>6</v>
      </c>
      <c r="H44" s="382" t="s">
        <v>51</v>
      </c>
      <c r="I44" s="382" t="s">
        <v>51</v>
      </c>
      <c r="J44" s="380"/>
      <c r="K44" s="382" t="s">
        <v>51</v>
      </c>
      <c r="L44" s="380">
        <v>2</v>
      </c>
      <c r="M44" s="381">
        <v>8</v>
      </c>
    </row>
    <row r="45" spans="2:13" s="53" customFormat="1" ht="20.100000000000001" customHeight="1" x14ac:dyDescent="0.2">
      <c r="B45" s="85"/>
      <c r="C45" s="85"/>
      <c r="D45" s="162">
        <v>2018</v>
      </c>
      <c r="E45" s="167">
        <f>SUM(F45:M45)</f>
        <v>11</v>
      </c>
      <c r="F45" s="384">
        <f>1</f>
        <v>1</v>
      </c>
      <c r="G45" s="384">
        <f>5</f>
        <v>5</v>
      </c>
      <c r="H45" s="382" t="s">
        <v>51</v>
      </c>
      <c r="I45" s="384">
        <v>1</v>
      </c>
      <c r="J45" s="384"/>
      <c r="K45" s="382" t="s">
        <v>51</v>
      </c>
      <c r="L45" s="382" t="s">
        <v>51</v>
      </c>
      <c r="M45" s="384">
        <f>4</f>
        <v>4</v>
      </c>
    </row>
    <row r="46" spans="2:13" s="53" customFormat="1" ht="20.100000000000001" customHeight="1" x14ac:dyDescent="0.2">
      <c r="B46" s="85"/>
      <c r="C46" s="85"/>
      <c r="D46" s="162"/>
      <c r="E46" s="167"/>
      <c r="F46" s="380"/>
      <c r="G46" s="380"/>
      <c r="H46" s="380"/>
      <c r="I46" s="380"/>
      <c r="J46" s="380"/>
      <c r="K46" s="380"/>
      <c r="L46" s="380"/>
      <c r="M46" s="381"/>
    </row>
    <row r="47" spans="2:13" s="53" customFormat="1" ht="20.100000000000001" customHeight="1" x14ac:dyDescent="0.2">
      <c r="B47" s="85" t="s">
        <v>163</v>
      </c>
      <c r="C47" s="85"/>
      <c r="D47" s="162">
        <v>2016</v>
      </c>
      <c r="E47" s="167">
        <f>SUM(F47:M47)</f>
        <v>8</v>
      </c>
      <c r="F47" s="380">
        <v>2</v>
      </c>
      <c r="G47" s="380">
        <v>1</v>
      </c>
      <c r="H47" s="382" t="s">
        <v>51</v>
      </c>
      <c r="I47" s="380">
        <v>1</v>
      </c>
      <c r="J47" s="380"/>
      <c r="K47" s="382" t="s">
        <v>51</v>
      </c>
      <c r="L47" s="380">
        <v>2</v>
      </c>
      <c r="M47" s="381">
        <v>2</v>
      </c>
    </row>
    <row r="48" spans="2:13" s="53" customFormat="1" ht="20.100000000000001" customHeight="1" x14ac:dyDescent="0.2">
      <c r="B48" s="85"/>
      <c r="C48" s="85"/>
      <c r="D48" s="162">
        <v>2017</v>
      </c>
      <c r="E48" s="167">
        <f>SUM(F48:M48)</f>
        <v>14</v>
      </c>
      <c r="F48" s="380">
        <v>1</v>
      </c>
      <c r="G48" s="380">
        <v>6</v>
      </c>
      <c r="H48" s="382" t="s">
        <v>51</v>
      </c>
      <c r="I48" s="382" t="s">
        <v>51</v>
      </c>
      <c r="J48" s="380"/>
      <c r="K48" s="382" t="s">
        <v>51</v>
      </c>
      <c r="L48" s="380">
        <v>1</v>
      </c>
      <c r="M48" s="381">
        <v>6</v>
      </c>
    </row>
    <row r="49" spans="1:14" s="53" customFormat="1" ht="20.100000000000001" customHeight="1" x14ac:dyDescent="0.2">
      <c r="B49" s="85"/>
      <c r="C49" s="85"/>
      <c r="D49" s="162">
        <v>2018</v>
      </c>
      <c r="E49" s="167">
        <f>SUM(F49,G49,H49,M49)</f>
        <v>11</v>
      </c>
      <c r="F49" s="383" t="s">
        <v>51</v>
      </c>
      <c r="G49" s="384">
        <f>6</f>
        <v>6</v>
      </c>
      <c r="H49" s="382" t="s">
        <v>51</v>
      </c>
      <c r="I49" s="384">
        <v>1</v>
      </c>
      <c r="J49" s="384"/>
      <c r="K49" s="382" t="s">
        <v>51</v>
      </c>
      <c r="L49" s="382" t="s">
        <v>51</v>
      </c>
      <c r="M49" s="384">
        <f>5</f>
        <v>5</v>
      </c>
    </row>
    <row r="50" spans="1:14" s="53" customFormat="1" ht="20.100000000000001" customHeight="1" x14ac:dyDescent="0.2">
      <c r="B50" s="85"/>
      <c r="C50" s="85"/>
      <c r="D50" s="162"/>
      <c r="E50" s="167"/>
      <c r="F50" s="380"/>
      <c r="G50" s="380"/>
      <c r="H50" s="380"/>
      <c r="I50" s="380"/>
      <c r="J50" s="380"/>
      <c r="K50" s="380"/>
      <c r="L50" s="380"/>
      <c r="M50" s="381"/>
    </row>
    <row r="51" spans="1:14" s="53" customFormat="1" ht="20.100000000000001" customHeight="1" x14ac:dyDescent="0.2">
      <c r="B51" s="85" t="s">
        <v>164</v>
      </c>
      <c r="C51" s="85"/>
      <c r="D51" s="162">
        <v>2016</v>
      </c>
      <c r="E51" s="167">
        <f>SUM(F51:M51)</f>
        <v>12</v>
      </c>
      <c r="F51" s="382" t="s">
        <v>51</v>
      </c>
      <c r="G51" s="380">
        <v>4</v>
      </c>
      <c r="H51" s="380">
        <v>1</v>
      </c>
      <c r="I51" s="380">
        <v>2</v>
      </c>
      <c r="J51" s="380"/>
      <c r="K51" s="382" t="s">
        <v>51</v>
      </c>
      <c r="L51" s="382" t="s">
        <v>51</v>
      </c>
      <c r="M51" s="381">
        <v>5</v>
      </c>
    </row>
    <row r="52" spans="1:14" s="53" customFormat="1" ht="20.100000000000001" customHeight="1" x14ac:dyDescent="0.2">
      <c r="B52" s="85"/>
      <c r="C52" s="85"/>
      <c r="D52" s="162">
        <v>2017</v>
      </c>
      <c r="E52" s="167">
        <f>SUM(F52:M52)</f>
        <v>8</v>
      </c>
      <c r="F52" s="382" t="s">
        <v>51</v>
      </c>
      <c r="G52" s="380">
        <v>2</v>
      </c>
      <c r="H52" s="382" t="s">
        <v>51</v>
      </c>
      <c r="I52" s="380">
        <v>2</v>
      </c>
      <c r="J52" s="380"/>
      <c r="K52" s="382" t="s">
        <v>51</v>
      </c>
      <c r="L52" s="380">
        <v>1</v>
      </c>
      <c r="M52" s="381">
        <v>3</v>
      </c>
    </row>
    <row r="53" spans="1:14" s="53" customFormat="1" ht="20.100000000000001" customHeight="1" x14ac:dyDescent="0.2">
      <c r="B53" s="85"/>
      <c r="C53" s="85"/>
      <c r="D53" s="162">
        <v>2018</v>
      </c>
      <c r="E53" s="167">
        <f>SUM(F53:M53)</f>
        <v>7</v>
      </c>
      <c r="F53" s="377">
        <f>0</f>
        <v>0</v>
      </c>
      <c r="G53" s="384">
        <f>4</f>
        <v>4</v>
      </c>
      <c r="H53" s="382" t="s">
        <v>51</v>
      </c>
      <c r="I53" s="384">
        <v>1</v>
      </c>
      <c r="J53" s="384"/>
      <c r="K53" s="382" t="s">
        <v>51</v>
      </c>
      <c r="L53" s="384">
        <v>1</v>
      </c>
      <c r="M53" s="384">
        <f>1</f>
        <v>1</v>
      </c>
    </row>
    <row r="54" spans="1:14" s="53" customFormat="1" ht="8.1" customHeight="1" thickBot="1" x14ac:dyDescent="0.25">
      <c r="A54" s="219"/>
      <c r="B54" s="220"/>
      <c r="C54" s="220"/>
      <c r="D54" s="220"/>
      <c r="E54" s="221"/>
      <c r="F54" s="222"/>
      <c r="G54" s="222"/>
      <c r="H54" s="222"/>
      <c r="I54" s="222"/>
      <c r="J54" s="222"/>
      <c r="K54" s="222"/>
      <c r="L54" s="222"/>
      <c r="M54" s="223"/>
      <c r="N54" s="219"/>
    </row>
    <row r="55" spans="1:14" s="53" customFormat="1" ht="12.75" x14ac:dyDescent="0.2">
      <c r="B55" s="118"/>
      <c r="C55" s="118"/>
      <c r="D55" s="118"/>
      <c r="E55" s="66"/>
      <c r="F55" s="117"/>
      <c r="G55" s="117"/>
      <c r="H55" s="117"/>
      <c r="I55" s="117"/>
      <c r="J55" s="117"/>
      <c r="K55" s="117"/>
      <c r="L55" s="117"/>
      <c r="M55" s="213"/>
      <c r="N55" s="8" t="s">
        <v>101</v>
      </c>
    </row>
    <row r="56" spans="1:14" s="53" customFormat="1" ht="12.75" x14ac:dyDescent="0.2">
      <c r="B56" s="118"/>
      <c r="C56" s="118"/>
      <c r="D56" s="118"/>
      <c r="E56" s="66"/>
      <c r="F56" s="117"/>
      <c r="G56" s="117"/>
      <c r="H56" s="117"/>
      <c r="I56" s="117"/>
      <c r="J56" s="117"/>
      <c r="K56" s="117"/>
      <c r="L56" s="117"/>
      <c r="M56" s="213"/>
      <c r="N56" s="41" t="s">
        <v>1</v>
      </c>
    </row>
    <row r="57" spans="1:14" ht="14.25" x14ac:dyDescent="0.2">
      <c r="B57" s="40"/>
      <c r="C57" s="40"/>
      <c r="D57" s="97"/>
      <c r="E57" s="10"/>
      <c r="F57" s="10"/>
      <c r="G57" s="10"/>
      <c r="H57" s="10"/>
      <c r="I57" s="10"/>
      <c r="J57" s="10"/>
      <c r="K57" s="10"/>
      <c r="L57" s="10"/>
      <c r="M57" s="236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A34" zoomScale="85" zoomScaleNormal="85" zoomScaleSheetLayoutView="100" workbookViewId="0">
      <selection activeCell="J23" sqref="J23"/>
    </sheetView>
  </sheetViews>
  <sheetFormatPr defaultRowHeight="15" x14ac:dyDescent="0.25"/>
  <cols>
    <col min="1" max="1" width="1.5703125" style="2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6" width="10.7109375" style="22" customWidth="1"/>
    <col min="7" max="7" width="9.140625" style="22" customWidth="1"/>
    <col min="8" max="8" width="11.42578125" style="22" customWidth="1"/>
    <col min="9" max="9" width="14.85546875" style="22" customWidth="1"/>
    <col min="10" max="10" width="1.7109375" style="22" customWidth="1"/>
    <col min="11" max="11" width="11.42578125" style="22" customWidth="1"/>
    <col min="12" max="12" width="14.85546875" style="22" customWidth="1"/>
    <col min="13" max="13" width="15.5703125" style="234" customWidth="1"/>
    <col min="14" max="14" width="1.42578125" style="2" customWidth="1"/>
    <col min="15" max="16384" width="9.140625" style="2"/>
  </cols>
  <sheetData>
    <row r="1" spans="1:14" ht="9.9499999999999993" customHeight="1" x14ac:dyDescent="0.25">
      <c r="B1" s="3" t="s">
        <v>203</v>
      </c>
      <c r="M1" s="5"/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105" customFormat="1" ht="18" customHeight="1" x14ac:dyDescent="0.2">
      <c r="B15" s="127" t="s">
        <v>206</v>
      </c>
      <c r="C15" s="127"/>
      <c r="D15" s="65"/>
      <c r="E15" s="166"/>
      <c r="F15" s="166"/>
      <c r="G15" s="166"/>
      <c r="H15" s="166"/>
      <c r="I15" s="166"/>
      <c r="J15" s="166"/>
      <c r="K15" s="166"/>
      <c r="L15" s="166"/>
      <c r="M15" s="121"/>
    </row>
    <row r="16" spans="1:14" s="105" customFormat="1" ht="18" customHeight="1" x14ac:dyDescent="0.2">
      <c r="B16" s="127"/>
      <c r="C16" s="127"/>
      <c r="D16" s="65"/>
      <c r="E16" s="166"/>
      <c r="F16" s="166"/>
      <c r="G16" s="166"/>
      <c r="H16" s="166"/>
      <c r="I16" s="166"/>
      <c r="J16" s="166"/>
      <c r="K16" s="166"/>
      <c r="L16" s="166"/>
      <c r="M16" s="121"/>
    </row>
    <row r="17" spans="2:13" s="53" customFormat="1" ht="18" customHeight="1" x14ac:dyDescent="0.2">
      <c r="B17" s="85" t="s">
        <v>165</v>
      </c>
      <c r="C17" s="85"/>
      <c r="D17" s="162">
        <v>2016</v>
      </c>
      <c r="E17" s="167">
        <f>SUM(F17:M17)</f>
        <v>49</v>
      </c>
      <c r="F17" s="385">
        <v>9</v>
      </c>
      <c r="G17" s="384">
        <v>6</v>
      </c>
      <c r="H17" s="384">
        <v>1</v>
      </c>
      <c r="I17" s="384">
        <v>12</v>
      </c>
      <c r="J17" s="384"/>
      <c r="K17" s="382" t="s">
        <v>51</v>
      </c>
      <c r="L17" s="384">
        <v>10</v>
      </c>
      <c r="M17" s="384">
        <v>11</v>
      </c>
    </row>
    <row r="18" spans="2:13" s="53" customFormat="1" ht="18" customHeight="1" x14ac:dyDescent="0.2">
      <c r="B18" s="85"/>
      <c r="C18" s="85"/>
      <c r="D18" s="162">
        <v>2017</v>
      </c>
      <c r="E18" s="167">
        <f>SUM(F18:M18)</f>
        <v>48</v>
      </c>
      <c r="F18" s="385">
        <v>2</v>
      </c>
      <c r="G18" s="384">
        <v>9</v>
      </c>
      <c r="H18" s="382" t="s">
        <v>51</v>
      </c>
      <c r="I18" s="384">
        <v>8</v>
      </c>
      <c r="J18" s="384"/>
      <c r="K18" s="382" t="s">
        <v>51</v>
      </c>
      <c r="L18" s="384">
        <v>8</v>
      </c>
      <c r="M18" s="384">
        <v>21</v>
      </c>
    </row>
    <row r="19" spans="2:13" s="53" customFormat="1" ht="18" customHeight="1" x14ac:dyDescent="0.2">
      <c r="B19" s="85"/>
      <c r="C19" s="85"/>
      <c r="D19" s="162">
        <v>2018</v>
      </c>
      <c r="E19" s="167">
        <f>SUM(F19:M19)</f>
        <v>49</v>
      </c>
      <c r="F19" s="385">
        <v>2</v>
      </c>
      <c r="G19" s="384">
        <v>11</v>
      </c>
      <c r="H19" s="382" t="s">
        <v>51</v>
      </c>
      <c r="I19" s="384">
        <v>7</v>
      </c>
      <c r="J19" s="384"/>
      <c r="K19" s="382" t="s">
        <v>51</v>
      </c>
      <c r="L19" s="384">
        <v>9</v>
      </c>
      <c r="M19" s="384">
        <v>20</v>
      </c>
    </row>
    <row r="20" spans="2:13" s="53" customFormat="1" ht="18" customHeight="1" x14ac:dyDescent="0.2">
      <c r="B20" s="85"/>
      <c r="C20" s="85"/>
      <c r="D20" s="162"/>
      <c r="E20" s="167"/>
      <c r="F20" s="167"/>
      <c r="G20" s="167"/>
      <c r="H20" s="167"/>
      <c r="I20" s="167"/>
      <c r="J20" s="167"/>
      <c r="K20" s="167"/>
      <c r="L20" s="167"/>
      <c r="M20" s="122"/>
    </row>
    <row r="21" spans="2:13" s="53" customFormat="1" ht="18" customHeight="1" x14ac:dyDescent="0.2">
      <c r="B21" s="237" t="s">
        <v>166</v>
      </c>
      <c r="C21" s="237"/>
      <c r="D21" s="162">
        <v>2016</v>
      </c>
      <c r="E21" s="167">
        <f>SUM(F21:M21)</f>
        <v>20</v>
      </c>
      <c r="F21" s="163">
        <v>2</v>
      </c>
      <c r="G21" s="163">
        <v>4</v>
      </c>
      <c r="H21" s="382" t="s">
        <v>51</v>
      </c>
      <c r="I21" s="163">
        <v>1</v>
      </c>
      <c r="J21" s="163"/>
      <c r="K21" s="382" t="s">
        <v>51</v>
      </c>
      <c r="L21" s="382" t="s">
        <v>51</v>
      </c>
      <c r="M21" s="386">
        <v>13</v>
      </c>
    </row>
    <row r="22" spans="2:13" s="53" customFormat="1" ht="18" customHeight="1" x14ac:dyDescent="0.2">
      <c r="B22" s="237"/>
      <c r="C22" s="237"/>
      <c r="D22" s="162">
        <v>2017</v>
      </c>
      <c r="E22" s="167">
        <f>SUM(F22:M22)</f>
        <v>25</v>
      </c>
      <c r="F22" s="163">
        <v>1</v>
      </c>
      <c r="G22" s="163">
        <v>2</v>
      </c>
      <c r="H22" s="382" t="s">
        <v>51</v>
      </c>
      <c r="I22" s="163">
        <v>6</v>
      </c>
      <c r="J22" s="163"/>
      <c r="K22" s="382" t="s">
        <v>51</v>
      </c>
      <c r="L22" s="163">
        <v>6</v>
      </c>
      <c r="M22" s="386">
        <v>10</v>
      </c>
    </row>
    <row r="23" spans="2:13" s="53" customFormat="1" ht="18" customHeight="1" x14ac:dyDescent="0.2">
      <c r="B23" s="237"/>
      <c r="C23" s="237"/>
      <c r="D23" s="162">
        <v>2018</v>
      </c>
      <c r="E23" s="167">
        <f>SUM(F23:M23)</f>
        <v>42</v>
      </c>
      <c r="F23" s="377">
        <f>0</f>
        <v>0</v>
      </c>
      <c r="G23" s="116">
        <f>17</f>
        <v>17</v>
      </c>
      <c r="H23" s="382" t="s">
        <v>51</v>
      </c>
      <c r="I23" s="116">
        <v>7</v>
      </c>
      <c r="J23" s="116"/>
      <c r="K23" s="382" t="s">
        <v>51</v>
      </c>
      <c r="L23" s="116">
        <v>2</v>
      </c>
      <c r="M23" s="116">
        <f>16</f>
        <v>16</v>
      </c>
    </row>
    <row r="24" spans="2:13" s="53" customFormat="1" ht="18" customHeight="1" x14ac:dyDescent="0.2">
      <c r="B24" s="237"/>
      <c r="C24" s="237"/>
      <c r="D24" s="162"/>
      <c r="E24" s="167"/>
      <c r="F24" s="163"/>
      <c r="G24" s="163"/>
      <c r="H24" s="163"/>
      <c r="I24" s="163"/>
      <c r="J24" s="163"/>
      <c r="K24" s="163"/>
      <c r="L24" s="163"/>
      <c r="M24" s="386"/>
    </row>
    <row r="25" spans="2:13" s="53" customFormat="1" ht="18" customHeight="1" x14ac:dyDescent="0.2">
      <c r="B25" s="85" t="s">
        <v>167</v>
      </c>
      <c r="C25" s="85"/>
      <c r="D25" s="162">
        <v>2016</v>
      </c>
      <c r="E25" s="167">
        <f>SUM(F25:M25)</f>
        <v>48</v>
      </c>
      <c r="F25" s="163">
        <v>1</v>
      </c>
      <c r="G25" s="163">
        <v>15</v>
      </c>
      <c r="H25" s="163">
        <v>1</v>
      </c>
      <c r="I25" s="163">
        <v>4</v>
      </c>
      <c r="J25" s="163"/>
      <c r="K25" s="382" t="s">
        <v>51</v>
      </c>
      <c r="L25" s="163">
        <v>8</v>
      </c>
      <c r="M25" s="386">
        <v>19</v>
      </c>
    </row>
    <row r="26" spans="2:13" s="53" customFormat="1" ht="18" customHeight="1" x14ac:dyDescent="0.2">
      <c r="B26" s="85"/>
      <c r="C26" s="85"/>
      <c r="D26" s="162">
        <v>2017</v>
      </c>
      <c r="E26" s="167">
        <f>SUM(F26:M26)</f>
        <v>75</v>
      </c>
      <c r="F26" s="163">
        <v>1</v>
      </c>
      <c r="G26" s="163">
        <v>21</v>
      </c>
      <c r="H26" s="382" t="s">
        <v>51</v>
      </c>
      <c r="I26" s="163">
        <v>16</v>
      </c>
      <c r="J26" s="163"/>
      <c r="K26" s="382" t="s">
        <v>51</v>
      </c>
      <c r="L26" s="163">
        <v>10</v>
      </c>
      <c r="M26" s="386">
        <v>27</v>
      </c>
    </row>
    <row r="27" spans="2:13" s="53" customFormat="1" ht="18" customHeight="1" x14ac:dyDescent="0.2">
      <c r="B27" s="85"/>
      <c r="C27" s="85"/>
      <c r="D27" s="162">
        <v>2018</v>
      </c>
      <c r="E27" s="167">
        <f>SUM(F27:M27)</f>
        <v>78</v>
      </c>
      <c r="F27" s="116">
        <f>1</f>
        <v>1</v>
      </c>
      <c r="G27" s="116">
        <f>26</f>
        <v>26</v>
      </c>
      <c r="H27" s="382" t="s">
        <v>51</v>
      </c>
      <c r="I27" s="116">
        <v>10</v>
      </c>
      <c r="J27" s="116"/>
      <c r="K27" s="382" t="s">
        <v>51</v>
      </c>
      <c r="L27" s="116">
        <v>10</v>
      </c>
      <c r="M27" s="116">
        <f>31</f>
        <v>31</v>
      </c>
    </row>
    <row r="28" spans="2:13" s="53" customFormat="1" ht="18" customHeight="1" x14ac:dyDescent="0.2">
      <c r="B28" s="85"/>
      <c r="C28" s="85"/>
      <c r="D28" s="162"/>
      <c r="E28" s="167"/>
      <c r="F28" s="163"/>
      <c r="G28" s="163"/>
      <c r="H28" s="163"/>
      <c r="I28" s="163"/>
      <c r="J28" s="163"/>
      <c r="K28" s="163"/>
      <c r="L28" s="163"/>
      <c r="M28" s="386"/>
    </row>
    <row r="29" spans="2:13" s="53" customFormat="1" ht="18" customHeight="1" x14ac:dyDescent="0.2">
      <c r="B29" s="85" t="s">
        <v>168</v>
      </c>
      <c r="C29" s="85"/>
      <c r="D29" s="162">
        <v>2016</v>
      </c>
      <c r="E29" s="167">
        <f>SUM(F29:M29)</f>
        <v>20</v>
      </c>
      <c r="F29" s="163">
        <v>1</v>
      </c>
      <c r="G29" s="163">
        <v>10</v>
      </c>
      <c r="H29" s="382" t="s">
        <v>51</v>
      </c>
      <c r="I29" s="382" t="s">
        <v>51</v>
      </c>
      <c r="J29" s="163"/>
      <c r="K29" s="382" t="s">
        <v>51</v>
      </c>
      <c r="L29" s="382" t="s">
        <v>51</v>
      </c>
      <c r="M29" s="386">
        <v>9</v>
      </c>
    </row>
    <row r="30" spans="2:13" s="53" customFormat="1" ht="18" customHeight="1" x14ac:dyDescent="0.2">
      <c r="B30" s="85"/>
      <c r="C30" s="85"/>
      <c r="D30" s="162">
        <v>2017</v>
      </c>
      <c r="E30" s="167">
        <f>SUM(F30:M30)</f>
        <v>16</v>
      </c>
      <c r="F30" s="163">
        <v>3</v>
      </c>
      <c r="G30" s="163">
        <v>7</v>
      </c>
      <c r="H30" s="382" t="s">
        <v>51</v>
      </c>
      <c r="I30" s="163">
        <v>1</v>
      </c>
      <c r="J30" s="163"/>
      <c r="K30" s="382" t="s">
        <v>51</v>
      </c>
      <c r="L30" s="382" t="s">
        <v>51</v>
      </c>
      <c r="M30" s="386">
        <v>5</v>
      </c>
    </row>
    <row r="31" spans="2:13" s="53" customFormat="1" ht="18" customHeight="1" x14ac:dyDescent="0.2">
      <c r="B31" s="85"/>
      <c r="C31" s="85"/>
      <c r="D31" s="162">
        <v>2018</v>
      </c>
      <c r="E31" s="167">
        <f>SUM(F31:M31)</f>
        <v>10</v>
      </c>
      <c r="F31" s="116">
        <f>2</f>
        <v>2</v>
      </c>
      <c r="G31" s="116">
        <f>4</f>
        <v>4</v>
      </c>
      <c r="H31" s="382" t="s">
        <v>51</v>
      </c>
      <c r="I31" s="382" t="s">
        <v>51</v>
      </c>
      <c r="J31" s="377"/>
      <c r="K31" s="382" t="s">
        <v>51</v>
      </c>
      <c r="L31" s="382" t="s">
        <v>51</v>
      </c>
      <c r="M31" s="116">
        <v>4</v>
      </c>
    </row>
    <row r="32" spans="2:13" s="53" customFormat="1" ht="18" customHeight="1" x14ac:dyDescent="0.2">
      <c r="B32" s="85"/>
      <c r="C32" s="85"/>
      <c r="D32" s="162"/>
      <c r="E32" s="167"/>
      <c r="F32" s="163"/>
      <c r="G32" s="163"/>
      <c r="H32" s="163"/>
      <c r="I32" s="163"/>
      <c r="J32" s="163"/>
      <c r="K32" s="163"/>
      <c r="L32" s="163"/>
      <c r="M32" s="386"/>
    </row>
    <row r="33" spans="2:13" s="53" customFormat="1" ht="18" customHeight="1" x14ac:dyDescent="0.2">
      <c r="B33" s="85" t="s">
        <v>169</v>
      </c>
      <c r="C33" s="85"/>
      <c r="D33" s="162">
        <v>2016</v>
      </c>
      <c r="E33" s="167">
        <f>SUM(F33:M33)</f>
        <v>46</v>
      </c>
      <c r="F33" s="163">
        <v>4</v>
      </c>
      <c r="G33" s="163">
        <v>1</v>
      </c>
      <c r="H33" s="382" t="s">
        <v>51</v>
      </c>
      <c r="I33" s="163">
        <v>23</v>
      </c>
      <c r="J33" s="163"/>
      <c r="K33" s="382" t="s">
        <v>51</v>
      </c>
      <c r="L33" s="163">
        <v>8</v>
      </c>
      <c r="M33" s="386">
        <v>10</v>
      </c>
    </row>
    <row r="34" spans="2:13" s="53" customFormat="1" ht="18" customHeight="1" x14ac:dyDescent="0.2">
      <c r="B34" s="85"/>
      <c r="C34" s="85"/>
      <c r="D34" s="162">
        <v>2017</v>
      </c>
      <c r="E34" s="167">
        <f>SUM(F34:M34)</f>
        <v>86</v>
      </c>
      <c r="F34" s="163">
        <v>3</v>
      </c>
      <c r="G34" s="163">
        <v>11</v>
      </c>
      <c r="H34" s="382" t="s">
        <v>51</v>
      </c>
      <c r="I34" s="163">
        <v>29</v>
      </c>
      <c r="J34" s="163"/>
      <c r="K34" s="382" t="s">
        <v>51</v>
      </c>
      <c r="L34" s="163">
        <v>26</v>
      </c>
      <c r="M34" s="386">
        <v>17</v>
      </c>
    </row>
    <row r="35" spans="2:13" s="53" customFormat="1" ht="18" customHeight="1" x14ac:dyDescent="0.2">
      <c r="B35" s="85"/>
      <c r="C35" s="85"/>
      <c r="D35" s="162">
        <v>2018</v>
      </c>
      <c r="E35" s="167">
        <f>SUM(F35:M35)</f>
        <v>49</v>
      </c>
      <c r="F35" s="116">
        <f>1</f>
        <v>1</v>
      </c>
      <c r="G35" s="116">
        <f>12</f>
        <v>12</v>
      </c>
      <c r="H35" s="382" t="s">
        <v>51</v>
      </c>
      <c r="I35" s="116">
        <v>10</v>
      </c>
      <c r="J35" s="116"/>
      <c r="K35" s="382" t="s">
        <v>51</v>
      </c>
      <c r="L35" s="116">
        <v>14</v>
      </c>
      <c r="M35" s="116">
        <f>12</f>
        <v>12</v>
      </c>
    </row>
    <row r="36" spans="2:13" s="53" customFormat="1" ht="18" customHeight="1" x14ac:dyDescent="0.2">
      <c r="B36" s="85"/>
      <c r="C36" s="85"/>
      <c r="D36" s="162"/>
      <c r="E36" s="167"/>
      <c r="F36" s="163"/>
      <c r="G36" s="163"/>
      <c r="H36" s="163"/>
      <c r="I36" s="163"/>
      <c r="J36" s="163"/>
      <c r="K36" s="163"/>
      <c r="L36" s="163"/>
      <c r="M36" s="386"/>
    </row>
    <row r="37" spans="2:13" s="53" customFormat="1" ht="18" customHeight="1" x14ac:dyDescent="0.2">
      <c r="B37" s="85" t="s">
        <v>170</v>
      </c>
      <c r="C37" s="85"/>
      <c r="D37" s="162">
        <v>2016</v>
      </c>
      <c r="E37" s="167">
        <f>SUM(F37:M37)</f>
        <v>27</v>
      </c>
      <c r="F37" s="163">
        <v>1</v>
      </c>
      <c r="G37" s="163">
        <v>6</v>
      </c>
      <c r="H37" s="382" t="s">
        <v>51</v>
      </c>
      <c r="I37" s="163">
        <v>6</v>
      </c>
      <c r="J37" s="163"/>
      <c r="K37" s="382" t="s">
        <v>51</v>
      </c>
      <c r="L37" s="163">
        <v>1</v>
      </c>
      <c r="M37" s="386">
        <v>13</v>
      </c>
    </row>
    <row r="38" spans="2:13" s="53" customFormat="1" ht="18" customHeight="1" x14ac:dyDescent="0.2">
      <c r="B38" s="85"/>
      <c r="C38" s="85"/>
      <c r="D38" s="162">
        <v>2017</v>
      </c>
      <c r="E38" s="167">
        <f>SUM(F38:M38)</f>
        <v>38</v>
      </c>
      <c r="F38" s="163">
        <v>1</v>
      </c>
      <c r="G38" s="163">
        <v>10</v>
      </c>
      <c r="H38" s="382" t="s">
        <v>51</v>
      </c>
      <c r="I38" s="163">
        <v>1</v>
      </c>
      <c r="J38" s="163"/>
      <c r="K38" s="382" t="s">
        <v>51</v>
      </c>
      <c r="L38" s="163">
        <v>5</v>
      </c>
      <c r="M38" s="386">
        <v>21</v>
      </c>
    </row>
    <row r="39" spans="2:13" s="53" customFormat="1" ht="18" customHeight="1" x14ac:dyDescent="0.2">
      <c r="B39" s="85"/>
      <c r="C39" s="85"/>
      <c r="D39" s="162">
        <v>2018</v>
      </c>
      <c r="E39" s="167">
        <f>SUM(F39:M39)</f>
        <v>31</v>
      </c>
      <c r="F39" s="116">
        <f>6</f>
        <v>6</v>
      </c>
      <c r="G39" s="116">
        <f>8</f>
        <v>8</v>
      </c>
      <c r="H39" s="382" t="s">
        <v>51</v>
      </c>
      <c r="I39" s="116">
        <v>2</v>
      </c>
      <c r="J39" s="116"/>
      <c r="K39" s="382" t="s">
        <v>51</v>
      </c>
      <c r="L39" s="382" t="s">
        <v>51</v>
      </c>
      <c r="M39" s="116">
        <f>15</f>
        <v>15</v>
      </c>
    </row>
    <row r="40" spans="2:13" s="53" customFormat="1" ht="18" customHeight="1" x14ac:dyDescent="0.2">
      <c r="B40" s="85"/>
      <c r="C40" s="85"/>
      <c r="D40" s="162"/>
      <c r="E40" s="167"/>
      <c r="F40" s="163"/>
      <c r="G40" s="163"/>
      <c r="H40" s="163"/>
      <c r="I40" s="163"/>
      <c r="J40" s="163"/>
      <c r="K40" s="163"/>
      <c r="L40" s="163"/>
      <c r="M40" s="386"/>
    </row>
    <row r="41" spans="2:13" s="53" customFormat="1" ht="18" customHeight="1" x14ac:dyDescent="0.2">
      <c r="B41" s="85" t="s">
        <v>171</v>
      </c>
      <c r="C41" s="85"/>
      <c r="D41" s="162">
        <v>2016</v>
      </c>
      <c r="E41" s="167">
        <f>SUM(F41:M41)</f>
        <v>16</v>
      </c>
      <c r="F41" s="163">
        <v>1</v>
      </c>
      <c r="G41" s="163">
        <v>6</v>
      </c>
      <c r="H41" s="382" t="s">
        <v>51</v>
      </c>
      <c r="I41" s="382" t="s">
        <v>51</v>
      </c>
      <c r="J41" s="163"/>
      <c r="K41" s="382" t="s">
        <v>51</v>
      </c>
      <c r="L41" s="163">
        <v>1</v>
      </c>
      <c r="M41" s="386">
        <v>8</v>
      </c>
    </row>
    <row r="42" spans="2:13" s="53" customFormat="1" ht="18" customHeight="1" x14ac:dyDescent="0.2">
      <c r="B42" s="85"/>
      <c r="C42" s="85"/>
      <c r="D42" s="162">
        <v>2017</v>
      </c>
      <c r="E42" s="167">
        <f>SUM(F42:M42)</f>
        <v>6</v>
      </c>
      <c r="F42" s="163">
        <v>1</v>
      </c>
      <c r="G42" s="163">
        <v>4</v>
      </c>
      <c r="H42" s="382" t="s">
        <v>51</v>
      </c>
      <c r="I42" s="382" t="s">
        <v>51</v>
      </c>
      <c r="J42" s="264"/>
      <c r="K42" s="382" t="s">
        <v>51</v>
      </c>
      <c r="L42" s="382" t="s">
        <v>51</v>
      </c>
      <c r="M42" s="386">
        <v>1</v>
      </c>
    </row>
    <row r="43" spans="2:13" s="53" customFormat="1" ht="18" customHeight="1" x14ac:dyDescent="0.2">
      <c r="B43" s="85"/>
      <c r="C43" s="85"/>
      <c r="D43" s="162">
        <v>2018</v>
      </c>
      <c r="E43" s="167">
        <f>F43+G43+M43</f>
        <v>8</v>
      </c>
      <c r="F43" s="377">
        <f>0</f>
        <v>0</v>
      </c>
      <c r="G43" s="116">
        <f>3</f>
        <v>3</v>
      </c>
      <c r="H43" s="382" t="s">
        <v>51</v>
      </c>
      <c r="I43" s="382" t="s">
        <v>51</v>
      </c>
      <c r="J43" s="377"/>
      <c r="K43" s="382" t="s">
        <v>51</v>
      </c>
      <c r="L43" s="382" t="s">
        <v>51</v>
      </c>
      <c r="M43" s="116">
        <f>5</f>
        <v>5</v>
      </c>
    </row>
    <row r="44" spans="2:13" s="53" customFormat="1" ht="18" customHeight="1" x14ac:dyDescent="0.2">
      <c r="B44" s="85"/>
      <c r="C44" s="85"/>
      <c r="D44" s="162"/>
      <c r="E44" s="167"/>
      <c r="F44" s="163"/>
      <c r="G44" s="163"/>
      <c r="H44" s="163"/>
      <c r="I44" s="163"/>
      <c r="J44" s="163"/>
      <c r="K44" s="163"/>
      <c r="L44" s="163"/>
      <c r="M44" s="386"/>
    </row>
    <row r="45" spans="2:13" s="53" customFormat="1" ht="18" customHeight="1" x14ac:dyDescent="0.2">
      <c r="B45" s="85" t="s">
        <v>172</v>
      </c>
      <c r="C45" s="85"/>
      <c r="D45" s="162">
        <v>2016</v>
      </c>
      <c r="E45" s="167">
        <f>SUM(F45:M45)</f>
        <v>85</v>
      </c>
      <c r="F45" s="163">
        <v>6</v>
      </c>
      <c r="G45" s="163">
        <v>17</v>
      </c>
      <c r="H45" s="382" t="s">
        <v>51</v>
      </c>
      <c r="I45" s="163">
        <v>24</v>
      </c>
      <c r="J45" s="163"/>
      <c r="K45" s="382" t="s">
        <v>51</v>
      </c>
      <c r="L45" s="163">
        <v>11</v>
      </c>
      <c r="M45" s="386">
        <v>27</v>
      </c>
    </row>
    <row r="46" spans="2:13" s="53" customFormat="1" ht="18" customHeight="1" x14ac:dyDescent="0.2">
      <c r="B46" s="85"/>
      <c r="C46" s="85"/>
      <c r="D46" s="162">
        <v>2017</v>
      </c>
      <c r="E46" s="167">
        <f>SUM(F46:M46)</f>
        <v>97</v>
      </c>
      <c r="F46" s="163">
        <v>9</v>
      </c>
      <c r="G46" s="163">
        <v>21</v>
      </c>
      <c r="H46" s="382" t="s">
        <v>51</v>
      </c>
      <c r="I46" s="163">
        <v>29</v>
      </c>
      <c r="J46" s="163"/>
      <c r="K46" s="382" t="s">
        <v>51</v>
      </c>
      <c r="L46" s="163">
        <v>15</v>
      </c>
      <c r="M46" s="386">
        <v>23</v>
      </c>
    </row>
    <row r="47" spans="2:13" s="53" customFormat="1" ht="18" customHeight="1" x14ac:dyDescent="0.2">
      <c r="B47" s="85"/>
      <c r="C47" s="85"/>
      <c r="D47" s="162">
        <v>2018</v>
      </c>
      <c r="E47" s="167">
        <f>SUM(F47:M47)</f>
        <v>29</v>
      </c>
      <c r="F47" s="116">
        <f>2</f>
        <v>2</v>
      </c>
      <c r="G47" s="116">
        <f>6</f>
        <v>6</v>
      </c>
      <c r="H47" s="382" t="s">
        <v>51</v>
      </c>
      <c r="I47" s="116">
        <v>5</v>
      </c>
      <c r="J47" s="116"/>
      <c r="K47" s="382" t="s">
        <v>51</v>
      </c>
      <c r="L47" s="116">
        <v>8</v>
      </c>
      <c r="M47" s="116">
        <f>8</f>
        <v>8</v>
      </c>
    </row>
    <row r="48" spans="2:13" s="53" customFormat="1" ht="18" customHeight="1" x14ac:dyDescent="0.2">
      <c r="B48" s="85"/>
      <c r="C48" s="85"/>
      <c r="D48" s="162"/>
      <c r="E48" s="167"/>
      <c r="F48" s="163"/>
      <c r="G48" s="163"/>
      <c r="H48" s="163"/>
      <c r="I48" s="163"/>
      <c r="J48" s="163"/>
      <c r="K48" s="163"/>
      <c r="L48" s="163"/>
      <c r="M48" s="386"/>
    </row>
    <row r="49" spans="1:14" s="53" customFormat="1" ht="18" customHeight="1" x14ac:dyDescent="0.2">
      <c r="B49" s="85" t="s">
        <v>173</v>
      </c>
      <c r="C49" s="85"/>
      <c r="D49" s="162">
        <v>2016</v>
      </c>
      <c r="E49" s="167">
        <f>SUM(F49:M49)</f>
        <v>11</v>
      </c>
      <c r="F49" s="264" t="s">
        <v>51</v>
      </c>
      <c r="G49" s="163">
        <v>9</v>
      </c>
      <c r="H49" s="382" t="s">
        <v>51</v>
      </c>
      <c r="I49" s="382" t="s">
        <v>51</v>
      </c>
      <c r="J49" s="264"/>
      <c r="K49" s="382" t="s">
        <v>51</v>
      </c>
      <c r="L49" s="382" t="s">
        <v>51</v>
      </c>
      <c r="M49" s="386">
        <v>2</v>
      </c>
    </row>
    <row r="50" spans="1:14" s="53" customFormat="1" ht="18" customHeight="1" x14ac:dyDescent="0.2">
      <c r="B50" s="85"/>
      <c r="C50" s="85"/>
      <c r="D50" s="162">
        <v>2017</v>
      </c>
      <c r="E50" s="167">
        <f>SUM(F50:M50)</f>
        <v>11</v>
      </c>
      <c r="F50" s="264" t="s">
        <v>51</v>
      </c>
      <c r="G50" s="163">
        <v>7</v>
      </c>
      <c r="H50" s="382" t="s">
        <v>51</v>
      </c>
      <c r="I50" s="382" t="s">
        <v>51</v>
      </c>
      <c r="J50" s="264"/>
      <c r="K50" s="382" t="s">
        <v>51</v>
      </c>
      <c r="L50" s="382" t="s">
        <v>51</v>
      </c>
      <c r="M50" s="386">
        <v>4</v>
      </c>
    </row>
    <row r="51" spans="1:14" s="53" customFormat="1" ht="18" customHeight="1" x14ac:dyDescent="0.2">
      <c r="B51" s="85"/>
      <c r="C51" s="85"/>
      <c r="D51" s="162">
        <v>2018</v>
      </c>
      <c r="E51" s="167">
        <f>SUM(F51:M51)</f>
        <v>15</v>
      </c>
      <c r="F51" s="116">
        <f>2</f>
        <v>2</v>
      </c>
      <c r="G51" s="116">
        <f>8</f>
        <v>8</v>
      </c>
      <c r="H51" s="382" t="s">
        <v>51</v>
      </c>
      <c r="I51" s="382" t="s">
        <v>51</v>
      </c>
      <c r="J51" s="116"/>
      <c r="K51" s="382" t="s">
        <v>51</v>
      </c>
      <c r="L51" s="116">
        <v>1</v>
      </c>
      <c r="M51" s="116">
        <f>4</f>
        <v>4</v>
      </c>
    </row>
    <row r="52" spans="1:14" s="53" customFormat="1" ht="18" customHeight="1" x14ac:dyDescent="0.2">
      <c r="B52" s="85"/>
      <c r="C52" s="85"/>
      <c r="D52" s="162"/>
      <c r="E52" s="167"/>
      <c r="F52" s="163"/>
      <c r="G52" s="163"/>
      <c r="H52" s="163"/>
      <c r="I52" s="163"/>
      <c r="J52" s="163"/>
      <c r="K52" s="163"/>
      <c r="L52" s="163"/>
      <c r="M52" s="386"/>
    </row>
    <row r="53" spans="1:14" s="53" customFormat="1" ht="18" customHeight="1" x14ac:dyDescent="0.2">
      <c r="B53" s="85" t="s">
        <v>174</v>
      </c>
      <c r="C53" s="85"/>
      <c r="D53" s="162">
        <v>2016</v>
      </c>
      <c r="E53" s="167">
        <f>SUM(F53:M53)</f>
        <v>26</v>
      </c>
      <c r="F53" s="163">
        <v>2</v>
      </c>
      <c r="G53" s="163">
        <v>12</v>
      </c>
      <c r="H53" s="382" t="s">
        <v>51</v>
      </c>
      <c r="I53" s="163">
        <v>2</v>
      </c>
      <c r="J53" s="163"/>
      <c r="K53" s="382" t="s">
        <v>51</v>
      </c>
      <c r="L53" s="382" t="s">
        <v>51</v>
      </c>
      <c r="M53" s="386">
        <v>10</v>
      </c>
    </row>
    <row r="54" spans="1:14" s="53" customFormat="1" ht="18" customHeight="1" x14ac:dyDescent="0.2">
      <c r="B54" s="85"/>
      <c r="C54" s="85"/>
      <c r="D54" s="162">
        <v>2017</v>
      </c>
      <c r="E54" s="167">
        <f>SUM(F54:M54)</f>
        <v>21</v>
      </c>
      <c r="F54" s="163">
        <v>2</v>
      </c>
      <c r="G54" s="163">
        <v>11</v>
      </c>
      <c r="H54" s="382" t="s">
        <v>51</v>
      </c>
      <c r="I54" s="163">
        <v>4</v>
      </c>
      <c r="J54" s="163"/>
      <c r="K54" s="382" t="s">
        <v>51</v>
      </c>
      <c r="L54" s="382" t="s">
        <v>51</v>
      </c>
      <c r="M54" s="386">
        <v>4</v>
      </c>
    </row>
    <row r="55" spans="1:14" s="53" customFormat="1" ht="18" customHeight="1" x14ac:dyDescent="0.2">
      <c r="B55" s="85"/>
      <c r="C55" s="85"/>
      <c r="D55" s="162">
        <v>2018</v>
      </c>
      <c r="E55" s="167">
        <f>SUM(F55,G55,H55,M55)</f>
        <v>16</v>
      </c>
      <c r="F55" s="116">
        <f>1</f>
        <v>1</v>
      </c>
      <c r="G55" s="116">
        <f>7</f>
        <v>7</v>
      </c>
      <c r="H55" s="382" t="s">
        <v>51</v>
      </c>
      <c r="I55" s="382" t="s">
        <v>51</v>
      </c>
      <c r="J55" s="117"/>
      <c r="K55" s="382" t="s">
        <v>51</v>
      </c>
      <c r="L55" s="382" t="s">
        <v>51</v>
      </c>
      <c r="M55" s="116">
        <f>8</f>
        <v>8</v>
      </c>
    </row>
    <row r="56" spans="1:14" s="53" customFormat="1" ht="18" customHeight="1" x14ac:dyDescent="0.2">
      <c r="B56" s="85"/>
      <c r="C56" s="85"/>
      <c r="D56" s="162"/>
      <c r="E56" s="167"/>
      <c r="F56" s="163"/>
      <c r="G56" s="163"/>
      <c r="H56" s="163"/>
      <c r="I56" s="163"/>
      <c r="J56" s="163"/>
      <c r="K56" s="163"/>
      <c r="L56" s="163"/>
      <c r="M56" s="386"/>
    </row>
    <row r="57" spans="1:14" s="53" customFormat="1" ht="18" customHeight="1" x14ac:dyDescent="0.2">
      <c r="B57" s="85" t="s">
        <v>175</v>
      </c>
      <c r="C57" s="85"/>
      <c r="D57" s="162">
        <v>2016</v>
      </c>
      <c r="E57" s="167">
        <f>SUM(F57:M57)</f>
        <v>24</v>
      </c>
      <c r="F57" s="163">
        <v>2</v>
      </c>
      <c r="G57" s="163">
        <v>6</v>
      </c>
      <c r="H57" s="382" t="s">
        <v>51</v>
      </c>
      <c r="I57" s="163">
        <v>1</v>
      </c>
      <c r="J57" s="163"/>
      <c r="K57" s="382" t="s">
        <v>51</v>
      </c>
      <c r="L57" s="163">
        <v>2</v>
      </c>
      <c r="M57" s="386">
        <v>13</v>
      </c>
    </row>
    <row r="58" spans="1:14" s="53" customFormat="1" ht="18" customHeight="1" x14ac:dyDescent="0.2">
      <c r="B58" s="85"/>
      <c r="C58" s="85"/>
      <c r="D58" s="162">
        <v>2017</v>
      </c>
      <c r="E58" s="167">
        <f>SUM(F58:M58)</f>
        <v>20</v>
      </c>
      <c r="F58" s="163">
        <v>1</v>
      </c>
      <c r="G58" s="163">
        <v>5</v>
      </c>
      <c r="H58" s="382" t="s">
        <v>51</v>
      </c>
      <c r="I58" s="163">
        <v>5</v>
      </c>
      <c r="J58" s="163"/>
      <c r="K58" s="382" t="s">
        <v>51</v>
      </c>
      <c r="L58" s="163">
        <v>3</v>
      </c>
      <c r="M58" s="386">
        <v>6</v>
      </c>
    </row>
    <row r="59" spans="1:14" s="53" customFormat="1" ht="18" customHeight="1" x14ac:dyDescent="0.2">
      <c r="B59" s="85"/>
      <c r="C59" s="85"/>
      <c r="D59" s="162">
        <v>2018</v>
      </c>
      <c r="E59" s="167">
        <f>SUM(F59:M59)</f>
        <v>25</v>
      </c>
      <c r="F59" s="116">
        <f>3</f>
        <v>3</v>
      </c>
      <c r="G59" s="116">
        <f>4</f>
        <v>4</v>
      </c>
      <c r="H59" s="116">
        <v>1</v>
      </c>
      <c r="I59" s="116">
        <v>2</v>
      </c>
      <c r="J59" s="116"/>
      <c r="K59" s="382" t="s">
        <v>51</v>
      </c>
      <c r="L59" s="116">
        <v>3</v>
      </c>
      <c r="M59" s="116">
        <f>12</f>
        <v>12</v>
      </c>
    </row>
    <row r="60" spans="1:14" s="53" customFormat="1" ht="8.1" customHeight="1" thickBot="1" x14ac:dyDescent="0.25">
      <c r="A60" s="219"/>
      <c r="B60" s="220"/>
      <c r="C60" s="220"/>
      <c r="D60" s="220"/>
      <c r="E60" s="221"/>
      <c r="F60" s="222"/>
      <c r="G60" s="222"/>
      <c r="H60" s="222"/>
      <c r="I60" s="222"/>
      <c r="J60" s="222"/>
      <c r="K60" s="222"/>
      <c r="L60" s="222"/>
      <c r="M60" s="223"/>
      <c r="N60" s="219"/>
    </row>
    <row r="61" spans="1:14" s="53" customFormat="1" ht="12.75" x14ac:dyDescent="0.2">
      <c r="B61" s="118"/>
      <c r="C61" s="118"/>
      <c r="D61" s="118"/>
      <c r="E61" s="66"/>
      <c r="F61" s="117"/>
      <c r="G61" s="117"/>
      <c r="H61" s="117"/>
      <c r="I61" s="117"/>
      <c r="J61" s="117"/>
      <c r="K61" s="117"/>
      <c r="L61" s="117"/>
      <c r="M61" s="213"/>
      <c r="N61" s="8" t="s">
        <v>101</v>
      </c>
    </row>
    <row r="62" spans="1:14" s="53" customFormat="1" ht="12.75" x14ac:dyDescent="0.2">
      <c r="B62" s="118"/>
      <c r="C62" s="118"/>
      <c r="D62" s="118"/>
      <c r="E62" s="66"/>
      <c r="F62" s="117"/>
      <c r="G62" s="117"/>
      <c r="H62" s="117"/>
      <c r="I62" s="117"/>
      <c r="J62" s="117"/>
      <c r="K62" s="117"/>
      <c r="L62" s="117"/>
      <c r="M62" s="213"/>
      <c r="N62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3"/>
  <sheetViews>
    <sheetView showGridLines="0" tabSelected="1" topLeftCell="A4" zoomScale="80" zoomScaleNormal="80" zoomScaleSheetLayoutView="100" workbookViewId="0">
      <selection activeCell="J23" sqref="J23"/>
    </sheetView>
  </sheetViews>
  <sheetFormatPr defaultRowHeight="15" x14ac:dyDescent="0.25"/>
  <cols>
    <col min="1" max="1" width="1.42578125" style="2" customWidth="1"/>
    <col min="2" max="2" width="9.85546875" style="3" customWidth="1"/>
    <col min="3" max="3" width="14.42578125" style="3" customWidth="1"/>
    <col min="4" max="4" width="7.42578125" style="3" customWidth="1"/>
    <col min="5" max="5" width="10.7109375" style="21" customWidth="1"/>
    <col min="6" max="6" width="10.7109375" style="22" customWidth="1"/>
    <col min="7" max="7" width="10" style="22" customWidth="1"/>
    <col min="8" max="8" width="11.7109375" style="22" customWidth="1"/>
    <col min="9" max="9" width="14.85546875" style="22" customWidth="1"/>
    <col min="10" max="10" width="1.7109375" style="22" customWidth="1"/>
    <col min="11" max="11" width="11.7109375" style="22" customWidth="1"/>
    <col min="12" max="12" width="14.85546875" style="22" customWidth="1"/>
    <col min="13" max="13" width="15.710937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203</v>
      </c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7.5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109" customFormat="1" ht="23.1" customHeight="1" x14ac:dyDescent="0.2">
      <c r="A15" s="233"/>
      <c r="B15" s="127" t="s">
        <v>126</v>
      </c>
      <c r="C15" s="127"/>
      <c r="D15" s="65">
        <v>2016</v>
      </c>
      <c r="E15" s="166">
        <f>SUM(E19,E23,E27,E31,E35,E39,E43,E47,'1.5Sarawak (2)'!E17,'1.5Sarawak (2)'!E21,'1.5Sarawak (2)'!E25,'1.5Sarawak (2)'!E29,'1.5Sarawak (2)'!E33,'1.5Sarawak (2)'!E37,'1.5Sarawak (2)'!E41,'1.5Sarawak (2)'!E45,'1.5Sarawak (2)'!E49,'1.5Sarawak (2)'!E53,'1.5Sarawak (3)'!E17,'1.5Sarawak (3)'!E21,'1.5Sarawak (3)'!E25,'1.5Sarawak (3)'!E29,'1.5Sarawak (3)'!E33,'1.5Sarawak (3)'!E37,'1.5Sarawak (3)'!E41,'1.5Sarawak (3)'!E45,'1.5Sarawak (3)'!E49,'1.5Sarawak (3)'!E53)</f>
        <v>953</v>
      </c>
      <c r="F15" s="166">
        <f>SUM(F19,F23,F27,F31,F35,F39,F43,F47,'1.5Sarawak (2)'!F17,'1.5Sarawak (2)'!F21,'1.5Sarawak (2)'!F25,'1.5Sarawak (2)'!F29,'1.5Sarawak (2)'!F33,'1.5Sarawak (2)'!F37,'1.5Sarawak (2)'!F41,'1.5Sarawak (2)'!F45,'1.5Sarawak (2)'!F49,'1.5Sarawak (2)'!F53,'1.5Sarawak (3)'!F17,'1.5Sarawak (3)'!F21,'1.5Sarawak (3)'!F25,'1.5Sarawak (3)'!F29,'1.5Sarawak (3)'!F33,'1.5Sarawak (3)'!F37,'1.5Sarawak (3)'!F41,'1.5Sarawak (3)'!F45,'1.5Sarawak (3)'!F49,'1.5Sarawak (3)'!F53)</f>
        <v>27</v>
      </c>
      <c r="G15" s="166">
        <f>SUM(G19,G23,G27,G31,G35,G39,G43,G47,'1.5Sarawak (2)'!G17,'1.5Sarawak (2)'!G21,'1.5Sarawak (2)'!G25,'1.5Sarawak (2)'!G29,'1.5Sarawak (2)'!G33,'1.5Sarawak (2)'!G37,'1.5Sarawak (2)'!G41,'1.5Sarawak (2)'!G45,'1.5Sarawak (2)'!G49,'1.5Sarawak (2)'!G53,'1.5Sarawak (3)'!G17,'1.5Sarawak (3)'!G21,'1.5Sarawak (3)'!G25,'1.5Sarawak (3)'!G29,'1.5Sarawak (3)'!G33,'1.5Sarawak (3)'!G37,'1.5Sarawak (3)'!G41,'1.5Sarawak (3)'!G45,'1.5Sarawak (3)'!G49,'1.5Sarawak (3)'!G53)</f>
        <v>138</v>
      </c>
      <c r="H15" s="166">
        <f>SUM(H19,H23,H27,H31,H35,H39,H43,H47,'1.5Sarawak (2)'!H17,'1.5Sarawak (2)'!H21,'1.5Sarawak (2)'!H25,'1.5Sarawak (2)'!H29,'1.5Sarawak (2)'!H33,'1.5Sarawak (2)'!H37,'1.5Sarawak (2)'!H41,'1.5Sarawak (2)'!H45,'1.5Sarawak (2)'!H49,'1.5Sarawak (2)'!H53,'1.5Sarawak (3)'!H17,'1.5Sarawak (3)'!H21,'1.5Sarawak (3)'!H25,'1.5Sarawak (3)'!H29,'1.5Sarawak (3)'!H33,'1.5Sarawak (3)'!H37,'1.5Sarawak (3)'!H41,'1.5Sarawak (3)'!H45,'1.5Sarawak (3)'!H49,'1.5Sarawak (3)'!H53)</f>
        <v>15</v>
      </c>
      <c r="I15" s="166">
        <f>SUM(I19,I23,I27,I31,I35,I39,I43,I47,'1.5Sarawak (2)'!I17,'1.5Sarawak (2)'!I21,'1.5Sarawak (2)'!I25,'1.5Sarawak (2)'!I29,'1.5Sarawak (2)'!I33,'1.5Sarawak (2)'!I37,'1.5Sarawak (2)'!I41,'1.5Sarawak (2)'!I45,'1.5Sarawak (2)'!I49,'1.5Sarawak (2)'!I53,'1.5Sarawak (3)'!I17,'1.5Sarawak (3)'!I21,'1.5Sarawak (3)'!I25,'1.5Sarawak (3)'!I29,'1.5Sarawak (3)'!I33,'1.5Sarawak (3)'!I37,'1.5Sarawak (3)'!I41,'1.5Sarawak (3)'!I45,'1.5Sarawak (3)'!I49,'1.5Sarawak (3)'!I53)</f>
        <v>281</v>
      </c>
      <c r="J15" s="166"/>
      <c r="K15" s="166">
        <f>SUM(K19,K23,K27,K31,K35,K39,K43,K47,'1.5Sarawak (2)'!K17,'1.5Sarawak (2)'!K21,'1.5Sarawak (2)'!K25,'1.5Sarawak (2)'!K29,'1.5Sarawak (2)'!K33,'1.5Sarawak (2)'!K37,'1.5Sarawak (2)'!K41,'1.5Sarawak (2)'!K45,'1.5Sarawak (2)'!K49,'1.5Sarawak (2)'!K53,'1.5Sarawak (3)'!K17,'1.5Sarawak (3)'!K21,'1.5Sarawak (3)'!K25,'1.5Sarawak (3)'!K29,'1.5Sarawak (3)'!K33,'1.5Sarawak (3)'!K37,'1.5Sarawak (3)'!K41,'1.5Sarawak (3)'!K45,'1.5Sarawak (3)'!K49,'1.5Sarawak (3)'!K53)</f>
        <v>2</v>
      </c>
      <c r="L15" s="166">
        <f>SUM(L19,L23,L27,L31,L35,L39,L43,L47,'1.5Sarawak (2)'!L17,'1.5Sarawak (2)'!L21,'1.5Sarawak (2)'!L25,'1.5Sarawak (2)'!L29,'1.5Sarawak (2)'!L33,'1.5Sarawak (2)'!L37,'1.5Sarawak (2)'!L41,'1.5Sarawak (2)'!L45,'1.5Sarawak (2)'!L49,'1.5Sarawak (2)'!L53,'1.5Sarawak (3)'!L17,'1.5Sarawak (3)'!L21,'1.5Sarawak (3)'!L25,'1.5Sarawak (3)'!L29,'1.5Sarawak (3)'!L33,'1.5Sarawak (3)'!L37,'1.5Sarawak (3)'!L41,'1.5Sarawak (3)'!L45,'1.5Sarawak (3)'!L49,'1.5Sarawak (3)'!L53)</f>
        <v>76</v>
      </c>
      <c r="M15" s="166">
        <f>SUM(M19,M23,M27,M31,M35,M39,M43,M47,'1.5Sarawak (2)'!M17,'1.5Sarawak (2)'!M21,'1.5Sarawak (2)'!M25,'1.5Sarawak (2)'!M29,'1.5Sarawak (2)'!M33,'1.5Sarawak (2)'!M37,'1.5Sarawak (2)'!M41,'1.5Sarawak (2)'!M45,'1.5Sarawak (2)'!M49,'1.5Sarawak (2)'!M53,'1.5Sarawak (3)'!M17,'1.5Sarawak (3)'!M21,'1.5Sarawak (3)'!M25,'1.5Sarawak (3)'!M29,'1.5Sarawak (3)'!M33,'1.5Sarawak (3)'!M37,'1.5Sarawak (3)'!M41,'1.5Sarawak (3)'!M45,'1.5Sarawak (3)'!M49,'1.5Sarawak (3)'!M53)</f>
        <v>414</v>
      </c>
    </row>
    <row r="16" spans="1:14" s="109" customFormat="1" ht="23.1" customHeight="1" x14ac:dyDescent="0.2">
      <c r="A16" s="233"/>
      <c r="B16" s="127"/>
      <c r="C16" s="127"/>
      <c r="D16" s="65">
        <v>2017</v>
      </c>
      <c r="E16" s="166">
        <f>SUM(E20,E24,E28,E32,E36,E40,E44,E48,'1.5Sarawak (2)'!E18,'1.5Sarawak (2)'!E22,'1.5Sarawak (2)'!E26,'1.5Sarawak (2)'!E30,'1.5Sarawak (2)'!E34,'1.5Sarawak (2)'!E38,'1.5Sarawak (2)'!E42,'1.5Sarawak (2)'!E46,'1.5Sarawak (2)'!E50,'1.5Sarawak (2)'!E54,'1.5Sarawak (3)'!E18,'1.5Sarawak (3)'!E22,'1.5Sarawak (3)'!E26,'1.5Sarawak (3)'!E30,'1.5Sarawak (3)'!E34,'1.5Sarawak (3)'!E38,'1.5Sarawak (3)'!E42,'1.5Sarawak (3)'!E46,'1.5Sarawak (3)'!E50,'1.5Sarawak (3)'!E54)</f>
        <v>876</v>
      </c>
      <c r="F16" s="166">
        <f>SUM(F20,F24,F28,F32,F36,F40,F44,F48,'1.5Sarawak (2)'!F18,'1.5Sarawak (2)'!F22,'1.5Sarawak (2)'!F26,'1.5Sarawak (2)'!F30,'1.5Sarawak (2)'!F34,'1.5Sarawak (2)'!F38,'1.5Sarawak (2)'!F42,'1.5Sarawak (2)'!F46,'1.5Sarawak (2)'!F50,'1.5Sarawak (2)'!F54,'1.5Sarawak (3)'!F18,'1.5Sarawak (3)'!F22,'1.5Sarawak (3)'!F26,'1.5Sarawak (3)'!F30,'1.5Sarawak (3)'!F34,'1.5Sarawak (3)'!F38,'1.5Sarawak (3)'!F42,'1.5Sarawak (3)'!F46,'1.5Sarawak (3)'!F50,'1.5Sarawak (3)'!F54)</f>
        <v>27</v>
      </c>
      <c r="G16" s="166">
        <f>SUM(G20,G24,G28,G32,G36,G40,G44,G48,'1.5Sarawak (2)'!G18,'1.5Sarawak (2)'!G22,'1.5Sarawak (2)'!G26,'1.5Sarawak (2)'!G30,'1.5Sarawak (2)'!G34,'1.5Sarawak (2)'!G38,'1.5Sarawak (2)'!G42,'1.5Sarawak (2)'!G46,'1.5Sarawak (2)'!G50,'1.5Sarawak (2)'!G54,'1.5Sarawak (3)'!G18,'1.5Sarawak (3)'!G22,'1.5Sarawak (3)'!G26,'1.5Sarawak (3)'!G30,'1.5Sarawak (3)'!G34,'1.5Sarawak (3)'!G38,'1.5Sarawak (3)'!G42,'1.5Sarawak (3)'!G46,'1.5Sarawak (3)'!G50,'1.5Sarawak (3)'!G54)</f>
        <v>150</v>
      </c>
      <c r="H16" s="166">
        <f>SUM(H20,H24,H28,H32,H36,H40,H44,H48,'1.5Sarawak (2)'!H18,'1.5Sarawak (2)'!H22,'1.5Sarawak (2)'!H26,'1.5Sarawak (2)'!H30,'1.5Sarawak (2)'!H34,'1.5Sarawak (2)'!H38,'1.5Sarawak (2)'!H42,'1.5Sarawak (2)'!H46,'1.5Sarawak (2)'!H50,'1.5Sarawak (2)'!H54,'1.5Sarawak (3)'!H18,'1.5Sarawak (3)'!H22,'1.5Sarawak (3)'!H26,'1.5Sarawak (3)'!H30,'1.5Sarawak (3)'!H34,'1.5Sarawak (3)'!H38,'1.5Sarawak (3)'!H42,'1.5Sarawak (3)'!H46,'1.5Sarawak (3)'!H50,'1.5Sarawak (3)'!H54)</f>
        <v>2</v>
      </c>
      <c r="I16" s="166">
        <f>SUM(I20,I24,I28,I32,I36,I40,I44,I48,'1.5Sarawak (2)'!I18,'1.5Sarawak (2)'!I22,'1.5Sarawak (2)'!I26,'1.5Sarawak (2)'!I30,'1.5Sarawak (2)'!I34,'1.5Sarawak (2)'!I38,'1.5Sarawak (2)'!I42,'1.5Sarawak (2)'!I46,'1.5Sarawak (2)'!I50,'1.5Sarawak (2)'!I54,'1.5Sarawak (3)'!I18,'1.5Sarawak (3)'!I22,'1.5Sarawak (3)'!I26,'1.5Sarawak (3)'!I30,'1.5Sarawak (3)'!I34,'1.5Sarawak (3)'!I38,'1.5Sarawak (3)'!I42,'1.5Sarawak (3)'!I46,'1.5Sarawak (3)'!I50,'1.5Sarawak (3)'!I54)</f>
        <v>238</v>
      </c>
      <c r="J16" s="166"/>
      <c r="K16" s="166">
        <f>SUM(K20,K24,K28,K32,K36,K40,K44,K48,'1.5Sarawak (2)'!K18,'1.5Sarawak (2)'!K22,'1.5Sarawak (2)'!K26,'1.5Sarawak (2)'!K30,'1.5Sarawak (2)'!K34,'1.5Sarawak (2)'!K38,'1.5Sarawak (2)'!K42,'1.5Sarawak (2)'!K46,'1.5Sarawak (2)'!K50,'1.5Sarawak (2)'!K54,'1.5Sarawak (3)'!K18,'1.5Sarawak (3)'!K22,'1.5Sarawak (3)'!K26,'1.5Sarawak (3)'!K30,'1.5Sarawak (3)'!K34,'1.5Sarawak (3)'!K38,'1.5Sarawak (3)'!K42,'1.5Sarawak (3)'!K46,'1.5Sarawak (3)'!K50,'1.5Sarawak (3)'!K54)</f>
        <v>1</v>
      </c>
      <c r="L16" s="166">
        <f>SUM(L20,L24,L28,L32,L36,L40,L44,L48,'1.5Sarawak (2)'!L18,'1.5Sarawak (2)'!L22,'1.5Sarawak (2)'!L26,'1.5Sarawak (2)'!L30,'1.5Sarawak (2)'!L34,'1.5Sarawak (2)'!L38,'1.5Sarawak (2)'!L42,'1.5Sarawak (2)'!L46,'1.5Sarawak (2)'!L50,'1.5Sarawak (2)'!L54,'1.5Sarawak (3)'!L18,'1.5Sarawak (3)'!L22,'1.5Sarawak (3)'!L26,'1.5Sarawak (3)'!L30,'1.5Sarawak (3)'!L34,'1.5Sarawak (3)'!L38,'1.5Sarawak (3)'!L42,'1.5Sarawak (3)'!L46,'1.5Sarawak (3)'!L50,'1.5Sarawak (3)'!L54)</f>
        <v>90</v>
      </c>
      <c r="M16" s="166">
        <f>SUM(M20,M24,M28,M32,M36,M40,M44,M48,'1.5Sarawak (2)'!M18,'1.5Sarawak (2)'!M22,'1.5Sarawak (2)'!M26,'1.5Sarawak (2)'!M30,'1.5Sarawak (2)'!M34,'1.5Sarawak (2)'!M38,'1.5Sarawak (2)'!M42,'1.5Sarawak (2)'!M46,'1.5Sarawak (2)'!M50,'1.5Sarawak (2)'!M54,'1.5Sarawak (3)'!M18,'1.5Sarawak (3)'!M22,'1.5Sarawak (3)'!M26,'1.5Sarawak (3)'!M30,'1.5Sarawak (3)'!M34,'1.5Sarawak (3)'!M38,'1.5Sarawak (3)'!M42,'1.5Sarawak (3)'!M46,'1.5Sarawak (3)'!M50,'1.5Sarawak (3)'!M54)</f>
        <v>368</v>
      </c>
    </row>
    <row r="17" spans="1:14" s="109" customFormat="1" ht="23.1" customHeight="1" x14ac:dyDescent="0.2">
      <c r="A17" s="233"/>
      <c r="B17" s="127"/>
      <c r="C17" s="127"/>
      <c r="D17" s="65">
        <v>2018</v>
      </c>
      <c r="E17" s="166">
        <f>SUM(E21,E25,E29,E33,E37,E41,E45,E49,'1.5Sarawak (2)'!E19,'1.5Sarawak (2)'!E23,'1.5Sarawak (2)'!E27,'1.5Sarawak (2)'!E31,'1.5Sarawak (2)'!E35,'1.5Sarawak (2)'!E39,'1.5Sarawak (2)'!E43,'1.5Sarawak (2)'!E47,'1.5Sarawak (2)'!E51,'1.5Sarawak (2)'!E55,'1.5Sarawak (3)'!E19,'1.5Sarawak (3)'!E23,'1.5Sarawak (3)'!E27,'1.5Sarawak (3)'!E31,'1.5Sarawak (3)'!E35,'1.5Sarawak (3)'!E39,'1.5Sarawak (3)'!E43,'1.5Sarawak (3)'!E47,'1.5Sarawak (3)'!E51,'1.5Sarawak (3)'!E55)</f>
        <v>811</v>
      </c>
      <c r="F17" s="166">
        <f>SUM(F21,F25,F29,F33,F37,F41,F45,F49,'1.5Sarawak (2)'!F19,'1.5Sarawak (2)'!F23,'1.5Sarawak (2)'!F27,'1.5Sarawak (2)'!F31,'1.5Sarawak (2)'!F35,'1.5Sarawak (2)'!F39,'1.5Sarawak (2)'!F43,'1.5Sarawak (2)'!F47,'1.5Sarawak (2)'!F51,'1.5Sarawak (2)'!F55,'1.5Sarawak (3)'!F19,'1.5Sarawak (3)'!F23,'1.5Sarawak (3)'!F27,'1.5Sarawak (3)'!F31,'1.5Sarawak (3)'!F35,'1.5Sarawak (3)'!F39,'1.5Sarawak (3)'!F43,'1.5Sarawak (3)'!F47,'1.5Sarawak (3)'!F51,'1.5Sarawak (3)'!F55)</f>
        <v>17</v>
      </c>
      <c r="G17" s="166">
        <f>SUM(G21,G25,G29,G33,G37,G41,G45,G49,'1.5Sarawak (2)'!G19,'1.5Sarawak (2)'!G23,'1.5Sarawak (2)'!G27,'1.5Sarawak (2)'!G31,'1.5Sarawak (2)'!G35,'1.5Sarawak (2)'!G39,'1.5Sarawak (2)'!G43,'1.5Sarawak (2)'!G47,'1.5Sarawak (2)'!G51,'1.5Sarawak (2)'!G55,'1.5Sarawak (3)'!G19,'1.5Sarawak (3)'!G23,'1.5Sarawak (3)'!G27,'1.5Sarawak (3)'!G31,'1.5Sarawak (3)'!G35,'1.5Sarawak (3)'!G39,'1.5Sarawak (3)'!G43,'1.5Sarawak (3)'!G47,'1.5Sarawak (3)'!G51,'1.5Sarawak (3)'!G55)</f>
        <v>131</v>
      </c>
      <c r="H17" s="166">
        <f>SUM(H21,H25,H29,H33,H37,H41,H45,H49,'1.5Sarawak (2)'!H19,'1.5Sarawak (2)'!H23,'1.5Sarawak (2)'!H27,'1.5Sarawak (2)'!H31,'1.5Sarawak (2)'!H35,'1.5Sarawak (2)'!H39,'1.5Sarawak (2)'!H43,'1.5Sarawak (2)'!H47,'1.5Sarawak (2)'!H51,'1.5Sarawak (2)'!H55,'1.5Sarawak (3)'!H19,'1.5Sarawak (3)'!H23,'1.5Sarawak (3)'!H27,'1.5Sarawak (3)'!H31,'1.5Sarawak (3)'!H35,'1.5Sarawak (3)'!H39,'1.5Sarawak (3)'!H43,'1.5Sarawak (3)'!H47,'1.5Sarawak (3)'!H51,'1.5Sarawak (3)'!H55)</f>
        <v>3</v>
      </c>
      <c r="I17" s="166">
        <f>SUM(I21,I25,I29,I33,I37,I41,I45,I49,'1.5Sarawak (2)'!I19,'1.5Sarawak (2)'!I23,'1.5Sarawak (2)'!I27,'1.5Sarawak (2)'!I31,'1.5Sarawak (2)'!I35,'1.5Sarawak (2)'!I39,'1.5Sarawak (2)'!I43,'1.5Sarawak (2)'!I47,'1.5Sarawak (2)'!I51,'1.5Sarawak (2)'!I55,'1.5Sarawak (3)'!I19,'1.5Sarawak (3)'!I23,'1.5Sarawak (3)'!I27,'1.5Sarawak (3)'!I31,'1.5Sarawak (3)'!I35,'1.5Sarawak (3)'!I39,'1.5Sarawak (3)'!I43,'1.5Sarawak (3)'!I47,'1.5Sarawak (3)'!I51,'1.5Sarawak (3)'!I55)</f>
        <v>214</v>
      </c>
      <c r="J17" s="166"/>
      <c r="K17" s="143" t="s">
        <v>51</v>
      </c>
      <c r="L17" s="166">
        <f>SUM(L21,L25,L29,L33,L37,L41,L45,L49,'1.5Sarawak (2)'!L19,'1.5Sarawak (2)'!L23,'1.5Sarawak (2)'!L27,'1.5Sarawak (2)'!L31,'1.5Sarawak (2)'!L35,'1.5Sarawak (2)'!L39,'1.5Sarawak (2)'!L43,'1.5Sarawak (2)'!L47,'1.5Sarawak (2)'!L51,'1.5Sarawak (2)'!L55,'1.5Sarawak (3)'!L19,'1.5Sarawak (3)'!L23,'1.5Sarawak (3)'!L27,'1.5Sarawak (3)'!L31,'1.5Sarawak (3)'!L35,'1.5Sarawak (3)'!L39,'1.5Sarawak (3)'!L43,'1.5Sarawak (3)'!L47,'1.5Sarawak (3)'!L51,'1.5Sarawak (3)'!L55)</f>
        <v>88</v>
      </c>
      <c r="M17" s="166">
        <f>SUM(M21,M25,M29,M33,M37,M41,M45,M49,'1.5Sarawak (2)'!M19,'1.5Sarawak (2)'!M23,'1.5Sarawak (2)'!M27,'1.5Sarawak (2)'!M31,'1.5Sarawak (2)'!M35,'1.5Sarawak (2)'!M39,'1.5Sarawak (2)'!M43,'1.5Sarawak (2)'!M47,'1.5Sarawak (2)'!M51,'1.5Sarawak (2)'!M55,'1.5Sarawak (3)'!M19,'1.5Sarawak (3)'!M23,'1.5Sarawak (3)'!M27,'1.5Sarawak (3)'!M31,'1.5Sarawak (3)'!M35,'1.5Sarawak (3)'!M39,'1.5Sarawak (3)'!M43,'1.5Sarawak (3)'!M47,'1.5Sarawak (3)'!M51,'1.5Sarawak (3)'!M55)</f>
        <v>358</v>
      </c>
      <c r="N17" s="166">
        <f>N21+N25+N29+N33+N37+N41+N45+N49+'1.5Sarawak (2)'!N19+'1.5Sarawak (2)'!N23+'1.5Sarawak (2)'!N27+'1.5Sarawak (2)'!N31+'1.5Sarawak (2)'!N35+'1.5Sarawak (2)'!N39+'1.5Sarawak (2)'!N43+'1.5Sarawak (2)'!N47+'1.5Sarawak (2)'!N51+'1.5Sarawak (2)'!N55+'1.5Sarawak (3)'!N19+'1.5Sarawak (3)'!N23+'1.5Sarawak (3)'!N27+'1.5Sarawak (3)'!N31+'1.5Sarawak (3)'!N35+'1.5Sarawak (3)'!N39+'1.5Sarawak (3)'!N43+'1.5Sarawak (3)'!N47+'1.5Sarawak (3)'!N51+'1.5Sarawak (3)'!N55</f>
        <v>0</v>
      </c>
    </row>
    <row r="18" spans="1:14" s="109" customFormat="1" ht="23.1" customHeight="1" x14ac:dyDescent="0.2">
      <c r="A18" s="233"/>
      <c r="B18" s="127"/>
      <c r="C18" s="127"/>
      <c r="D18" s="65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1:14" s="109" customFormat="1" ht="23.1" customHeight="1" x14ac:dyDescent="0.2">
      <c r="A19" s="233"/>
      <c r="B19" s="85" t="s">
        <v>127</v>
      </c>
      <c r="C19" s="85"/>
      <c r="D19" s="162">
        <v>2016</v>
      </c>
      <c r="E19" s="167">
        <f>SUM(F19:M19)</f>
        <v>14</v>
      </c>
      <c r="F19" s="334">
        <v>2</v>
      </c>
      <c r="G19" s="334">
        <v>1</v>
      </c>
      <c r="H19" s="334">
        <v>6</v>
      </c>
      <c r="I19" s="335" t="s">
        <v>51</v>
      </c>
      <c r="J19" s="334"/>
      <c r="K19" s="335" t="s">
        <v>51</v>
      </c>
      <c r="L19" s="335" t="s">
        <v>51</v>
      </c>
      <c r="M19" s="334">
        <v>5</v>
      </c>
    </row>
    <row r="20" spans="1:14" s="109" customFormat="1" ht="23.1" customHeight="1" x14ac:dyDescent="0.2">
      <c r="A20" s="233"/>
      <c r="B20" s="85"/>
      <c r="C20" s="85"/>
      <c r="D20" s="162">
        <v>2017</v>
      </c>
      <c r="E20" s="167">
        <f>SUM(F20:M20)</f>
        <v>9</v>
      </c>
      <c r="F20" s="335" t="s">
        <v>51</v>
      </c>
      <c r="G20" s="334">
        <v>2</v>
      </c>
      <c r="H20" s="335" t="s">
        <v>51</v>
      </c>
      <c r="I20" s="334">
        <v>3</v>
      </c>
      <c r="J20" s="334"/>
      <c r="K20" s="335" t="s">
        <v>51</v>
      </c>
      <c r="L20" s="335" t="s">
        <v>51</v>
      </c>
      <c r="M20" s="334">
        <v>4</v>
      </c>
    </row>
    <row r="21" spans="1:14" s="109" customFormat="1" ht="23.1" customHeight="1" x14ac:dyDescent="0.2">
      <c r="A21" s="233"/>
      <c r="B21" s="85"/>
      <c r="C21" s="85"/>
      <c r="D21" s="162">
        <v>2018</v>
      </c>
      <c r="E21" s="167">
        <f>SUM(F21:M21)</f>
        <v>86</v>
      </c>
      <c r="F21" s="335" t="s">
        <v>51</v>
      </c>
      <c r="G21" s="334">
        <f>3</f>
        <v>3</v>
      </c>
      <c r="H21" s="335" t="s">
        <v>51</v>
      </c>
      <c r="I21" s="334">
        <v>2</v>
      </c>
      <c r="J21" s="334"/>
      <c r="K21" s="335" t="s">
        <v>51</v>
      </c>
      <c r="L21" s="335" t="s">
        <v>51</v>
      </c>
      <c r="M21" s="334">
        <f>81</f>
        <v>81</v>
      </c>
    </row>
    <row r="22" spans="1:14" s="109" customFormat="1" ht="23.1" customHeight="1" x14ac:dyDescent="0.2">
      <c r="A22" s="233"/>
      <c r="B22" s="85"/>
      <c r="C22" s="85"/>
      <c r="D22" s="162"/>
      <c r="E22" s="167"/>
      <c r="F22" s="334"/>
      <c r="G22" s="334"/>
      <c r="H22" s="334"/>
      <c r="I22" s="334"/>
      <c r="J22" s="334"/>
      <c r="K22" s="334"/>
      <c r="L22" s="334"/>
      <c r="M22" s="334"/>
    </row>
    <row r="23" spans="1:14" s="119" customFormat="1" ht="23.1" customHeight="1" x14ac:dyDescent="0.2">
      <c r="A23" s="233"/>
      <c r="B23" s="85" t="s">
        <v>128</v>
      </c>
      <c r="C23" s="85"/>
      <c r="D23" s="162">
        <v>2016</v>
      </c>
      <c r="E23" s="167">
        <f>SUM(F23:M23)</f>
        <v>17</v>
      </c>
      <c r="F23" s="334">
        <v>2</v>
      </c>
      <c r="G23" s="334">
        <v>9</v>
      </c>
      <c r="H23" s="335" t="s">
        <v>51</v>
      </c>
      <c r="I23" s="335" t="s">
        <v>51</v>
      </c>
      <c r="J23" s="334"/>
      <c r="K23" s="335" t="s">
        <v>51</v>
      </c>
      <c r="L23" s="335" t="s">
        <v>51</v>
      </c>
      <c r="M23" s="334">
        <v>6</v>
      </c>
    </row>
    <row r="24" spans="1:14" s="119" customFormat="1" ht="23.1" customHeight="1" x14ac:dyDescent="0.2">
      <c r="A24" s="233"/>
      <c r="B24" s="85"/>
      <c r="C24" s="85"/>
      <c r="D24" s="162">
        <v>2017</v>
      </c>
      <c r="E24" s="167">
        <f>SUM(F24:M24)</f>
        <v>6</v>
      </c>
      <c r="F24" s="335" t="s">
        <v>51</v>
      </c>
      <c r="G24" s="334">
        <v>2</v>
      </c>
      <c r="H24" s="335" t="s">
        <v>51</v>
      </c>
      <c r="I24" s="335" t="s">
        <v>51</v>
      </c>
      <c r="J24" s="335"/>
      <c r="K24" s="335" t="s">
        <v>51</v>
      </c>
      <c r="L24" s="335" t="s">
        <v>51</v>
      </c>
      <c r="M24" s="334">
        <v>4</v>
      </c>
    </row>
    <row r="25" spans="1:14" s="119" customFormat="1" ht="23.1" customHeight="1" x14ac:dyDescent="0.2">
      <c r="A25" s="233"/>
      <c r="B25" s="85"/>
      <c r="C25" s="85"/>
      <c r="D25" s="162">
        <v>2018</v>
      </c>
      <c r="E25" s="167">
        <f>SUM(F25:M25)</f>
        <v>10</v>
      </c>
      <c r="F25" s="334">
        <f>3</f>
        <v>3</v>
      </c>
      <c r="G25" s="335" t="s">
        <v>51</v>
      </c>
      <c r="H25" s="335" t="s">
        <v>51</v>
      </c>
      <c r="I25" s="335" t="s">
        <v>51</v>
      </c>
      <c r="J25" s="335"/>
      <c r="K25" s="335" t="s">
        <v>51</v>
      </c>
      <c r="L25" s="335" t="s">
        <v>51</v>
      </c>
      <c r="M25" s="334">
        <f>7</f>
        <v>7</v>
      </c>
    </row>
    <row r="26" spans="1:14" s="119" customFormat="1" ht="23.1" customHeight="1" x14ac:dyDescent="0.2">
      <c r="A26" s="233"/>
      <c r="B26" s="85"/>
      <c r="C26" s="85"/>
      <c r="D26" s="162"/>
      <c r="E26" s="167"/>
      <c r="F26" s="334"/>
      <c r="G26" s="334"/>
      <c r="H26" s="334"/>
      <c r="I26" s="334"/>
      <c r="J26" s="334"/>
      <c r="K26" s="334"/>
      <c r="L26" s="334"/>
      <c r="M26" s="334"/>
    </row>
    <row r="27" spans="1:14" s="119" customFormat="1" ht="23.1" customHeight="1" x14ac:dyDescent="0.2">
      <c r="A27" s="233"/>
      <c r="B27" s="85" t="s">
        <v>129</v>
      </c>
      <c r="C27" s="85"/>
      <c r="D27" s="162">
        <v>2016</v>
      </c>
      <c r="E27" s="167">
        <f>SUM(F27:M27)</f>
        <v>7</v>
      </c>
      <c r="F27" s="334" t="s">
        <v>51</v>
      </c>
      <c r="G27" s="334">
        <v>2</v>
      </c>
      <c r="H27" s="334">
        <v>1</v>
      </c>
      <c r="I27" s="334">
        <v>1</v>
      </c>
      <c r="J27" s="334"/>
      <c r="K27" s="335" t="s">
        <v>51</v>
      </c>
      <c r="L27" s="335" t="s">
        <v>51</v>
      </c>
      <c r="M27" s="334">
        <v>3</v>
      </c>
    </row>
    <row r="28" spans="1:14" s="119" customFormat="1" ht="23.1" customHeight="1" x14ac:dyDescent="0.2">
      <c r="A28" s="233"/>
      <c r="B28" s="85"/>
      <c r="C28" s="85"/>
      <c r="D28" s="162">
        <v>2017</v>
      </c>
      <c r="E28" s="167">
        <f>SUM(F28:M28)</f>
        <v>18</v>
      </c>
      <c r="F28" s="335" t="s">
        <v>51</v>
      </c>
      <c r="G28" s="334">
        <v>7</v>
      </c>
      <c r="H28" s="335" t="s">
        <v>51</v>
      </c>
      <c r="I28" s="334">
        <v>4</v>
      </c>
      <c r="J28" s="334"/>
      <c r="K28" s="335" t="s">
        <v>51</v>
      </c>
      <c r="L28" s="335" t="s">
        <v>51</v>
      </c>
      <c r="M28" s="334">
        <v>7</v>
      </c>
    </row>
    <row r="29" spans="1:14" s="119" customFormat="1" ht="23.1" customHeight="1" x14ac:dyDescent="0.2">
      <c r="A29" s="233"/>
      <c r="B29" s="85"/>
      <c r="C29" s="85"/>
      <c r="D29" s="162">
        <v>2018</v>
      </c>
      <c r="E29" s="167">
        <f>SUM(F29:M29)</f>
        <v>6</v>
      </c>
      <c r="F29" s="335" t="s">
        <v>51</v>
      </c>
      <c r="G29" s="334">
        <f>3</f>
        <v>3</v>
      </c>
      <c r="H29" s="335" t="s">
        <v>51</v>
      </c>
      <c r="I29" s="334">
        <v>2</v>
      </c>
      <c r="J29" s="334"/>
      <c r="K29" s="335" t="s">
        <v>51</v>
      </c>
      <c r="L29" s="334">
        <v>1</v>
      </c>
      <c r="M29" s="335" t="s">
        <v>51</v>
      </c>
    </row>
    <row r="30" spans="1:14" s="119" customFormat="1" ht="23.1" customHeight="1" x14ac:dyDescent="0.2">
      <c r="A30" s="233"/>
      <c r="B30" s="85"/>
      <c r="C30" s="85"/>
      <c r="D30" s="162"/>
      <c r="E30" s="167"/>
      <c r="F30" s="334"/>
      <c r="G30" s="334"/>
      <c r="H30" s="334"/>
      <c r="I30" s="334"/>
      <c r="J30" s="334"/>
      <c r="K30" s="334"/>
      <c r="L30" s="334"/>
      <c r="M30" s="334"/>
    </row>
    <row r="31" spans="1:14" s="119" customFormat="1" ht="23.1" customHeight="1" x14ac:dyDescent="0.2">
      <c r="A31" s="233"/>
      <c r="B31" s="85" t="s">
        <v>130</v>
      </c>
      <c r="C31" s="85"/>
      <c r="D31" s="162">
        <v>2016</v>
      </c>
      <c r="E31" s="167">
        <f>SUM(F31:M31)</f>
        <v>72</v>
      </c>
      <c r="F31" s="334">
        <v>3</v>
      </c>
      <c r="G31" s="334">
        <v>19</v>
      </c>
      <c r="H31" s="335" t="s">
        <v>51</v>
      </c>
      <c r="I31" s="334">
        <v>13</v>
      </c>
      <c r="J31" s="334"/>
      <c r="K31" s="335" t="s">
        <v>51</v>
      </c>
      <c r="L31" s="334">
        <v>5</v>
      </c>
      <c r="M31" s="334">
        <v>32</v>
      </c>
    </row>
    <row r="32" spans="1:14" s="119" customFormat="1" ht="23.1" customHeight="1" x14ac:dyDescent="0.2">
      <c r="A32" s="233"/>
      <c r="B32" s="85"/>
      <c r="C32" s="85"/>
      <c r="D32" s="162">
        <v>2017</v>
      </c>
      <c r="E32" s="167">
        <f>SUM(F32:M32)</f>
        <v>63</v>
      </c>
      <c r="F32" s="334">
        <v>2</v>
      </c>
      <c r="G32" s="334">
        <v>12</v>
      </c>
      <c r="H32" s="335" t="s">
        <v>51</v>
      </c>
      <c r="I32" s="334">
        <v>20</v>
      </c>
      <c r="J32" s="334"/>
      <c r="K32" s="335" t="s">
        <v>51</v>
      </c>
      <c r="L32" s="334">
        <v>8</v>
      </c>
      <c r="M32" s="334">
        <v>21</v>
      </c>
    </row>
    <row r="33" spans="1:13" s="119" customFormat="1" ht="23.1" customHeight="1" x14ac:dyDescent="0.2">
      <c r="A33" s="233"/>
      <c r="B33" s="85"/>
      <c r="C33" s="85"/>
      <c r="D33" s="162">
        <v>2018</v>
      </c>
      <c r="E33" s="167">
        <f>SUM(F33:M33)</f>
        <v>34</v>
      </c>
      <c r="F33" s="335" t="s">
        <v>51</v>
      </c>
      <c r="G33" s="334">
        <f>5</f>
        <v>5</v>
      </c>
      <c r="H33" s="335" t="s">
        <v>51</v>
      </c>
      <c r="I33" s="334">
        <v>18</v>
      </c>
      <c r="J33" s="334"/>
      <c r="K33" s="335" t="s">
        <v>51</v>
      </c>
      <c r="L33" s="334">
        <v>8</v>
      </c>
      <c r="M33" s="334">
        <f>3</f>
        <v>3</v>
      </c>
    </row>
    <row r="34" spans="1:13" s="119" customFormat="1" ht="23.1" customHeight="1" x14ac:dyDescent="0.2">
      <c r="A34" s="233"/>
      <c r="B34" s="85"/>
      <c r="C34" s="85"/>
      <c r="D34" s="162"/>
      <c r="E34" s="167"/>
      <c r="F34" s="334"/>
      <c r="G34" s="334"/>
      <c r="H34" s="334"/>
      <c r="I34" s="334"/>
      <c r="J34" s="334"/>
      <c r="K34" s="334"/>
      <c r="L34" s="334"/>
      <c r="M34" s="334"/>
    </row>
    <row r="35" spans="1:13" s="119" customFormat="1" ht="23.1" customHeight="1" x14ac:dyDescent="0.2">
      <c r="A35" s="233"/>
      <c r="B35" s="85" t="s">
        <v>131</v>
      </c>
      <c r="C35" s="85"/>
      <c r="D35" s="162">
        <v>2016</v>
      </c>
      <c r="E35" s="167">
        <f>SUM(F35:M35)</f>
        <v>3</v>
      </c>
      <c r="F35" s="334" t="s">
        <v>51</v>
      </c>
      <c r="G35" s="334" t="s">
        <v>51</v>
      </c>
      <c r="H35" s="335" t="s">
        <v>51</v>
      </c>
      <c r="I35" s="335" t="s">
        <v>51</v>
      </c>
      <c r="J35" s="334"/>
      <c r="K35" s="335" t="s">
        <v>51</v>
      </c>
      <c r="L35" s="334">
        <v>1</v>
      </c>
      <c r="M35" s="334">
        <v>2</v>
      </c>
    </row>
    <row r="36" spans="1:13" s="119" customFormat="1" ht="23.1" customHeight="1" x14ac:dyDescent="0.2">
      <c r="A36" s="233"/>
      <c r="B36" s="85"/>
      <c r="C36" s="85"/>
      <c r="D36" s="162">
        <v>2017</v>
      </c>
      <c r="E36" s="167">
        <f>SUM(F36:M36)</f>
        <v>7</v>
      </c>
      <c r="F36" s="335" t="s">
        <v>51</v>
      </c>
      <c r="G36" s="334">
        <v>4</v>
      </c>
      <c r="H36" s="335" t="s">
        <v>51</v>
      </c>
      <c r="I36" s="334">
        <v>1</v>
      </c>
      <c r="J36" s="334"/>
      <c r="K36" s="335" t="s">
        <v>51</v>
      </c>
      <c r="L36" s="335" t="s">
        <v>51</v>
      </c>
      <c r="M36" s="334">
        <v>2</v>
      </c>
    </row>
    <row r="37" spans="1:13" s="119" customFormat="1" ht="23.1" customHeight="1" x14ac:dyDescent="0.2">
      <c r="A37" s="233"/>
      <c r="B37" s="85"/>
      <c r="C37" s="85"/>
      <c r="D37" s="162">
        <v>2018</v>
      </c>
      <c r="E37" s="167">
        <f>SUM(F37:M37)</f>
        <v>10</v>
      </c>
      <c r="F37" s="335" t="s">
        <v>51</v>
      </c>
      <c r="G37" s="334">
        <f>1</f>
        <v>1</v>
      </c>
      <c r="H37" s="334">
        <v>1</v>
      </c>
      <c r="I37" s="334">
        <v>2</v>
      </c>
      <c r="J37" s="334"/>
      <c r="K37" s="335" t="s">
        <v>51</v>
      </c>
      <c r="L37" s="335" t="s">
        <v>51</v>
      </c>
      <c r="M37" s="334">
        <f>6</f>
        <v>6</v>
      </c>
    </row>
    <row r="38" spans="1:13" s="119" customFormat="1" ht="23.1" customHeight="1" x14ac:dyDescent="0.2">
      <c r="A38" s="233"/>
      <c r="B38" s="85"/>
      <c r="C38" s="85"/>
      <c r="D38" s="162"/>
      <c r="E38" s="167"/>
      <c r="F38" s="334"/>
      <c r="G38" s="334"/>
      <c r="H38" s="334"/>
      <c r="I38" s="334"/>
      <c r="J38" s="334"/>
      <c r="K38" s="334"/>
      <c r="L38" s="334"/>
      <c r="M38" s="334"/>
    </row>
    <row r="39" spans="1:13" s="119" customFormat="1" ht="23.1" customHeight="1" x14ac:dyDescent="0.2">
      <c r="A39" s="233"/>
      <c r="B39" s="85" t="s">
        <v>132</v>
      </c>
      <c r="C39" s="85"/>
      <c r="D39" s="162">
        <v>2016</v>
      </c>
      <c r="E39" s="167">
        <f>SUM(F39:M39)</f>
        <v>3</v>
      </c>
      <c r="F39" s="334" t="s">
        <v>51</v>
      </c>
      <c r="G39" s="334">
        <v>1</v>
      </c>
      <c r="H39" s="335" t="s">
        <v>51</v>
      </c>
      <c r="I39" s="335" t="s">
        <v>51</v>
      </c>
      <c r="J39" s="334"/>
      <c r="K39" s="335" t="s">
        <v>51</v>
      </c>
      <c r="L39" s="335" t="s">
        <v>51</v>
      </c>
      <c r="M39" s="334">
        <v>2</v>
      </c>
    </row>
    <row r="40" spans="1:13" s="119" customFormat="1" ht="23.1" customHeight="1" x14ac:dyDescent="0.2">
      <c r="A40" s="233"/>
      <c r="B40" s="85"/>
      <c r="C40" s="85"/>
      <c r="D40" s="162">
        <v>2017</v>
      </c>
      <c r="E40" s="167">
        <f>SUM(F40:M40)</f>
        <v>5</v>
      </c>
      <c r="F40" s="335" t="s">
        <v>51</v>
      </c>
      <c r="G40" s="334">
        <v>1</v>
      </c>
      <c r="H40" s="335" t="s">
        <v>51</v>
      </c>
      <c r="I40" s="334">
        <v>1</v>
      </c>
      <c r="J40" s="334"/>
      <c r="K40" s="335" t="s">
        <v>51</v>
      </c>
      <c r="L40" s="335" t="s">
        <v>51</v>
      </c>
      <c r="M40" s="334">
        <v>3</v>
      </c>
    </row>
    <row r="41" spans="1:13" s="119" customFormat="1" ht="23.1" customHeight="1" x14ac:dyDescent="0.2">
      <c r="A41" s="233"/>
      <c r="B41" s="85"/>
      <c r="C41" s="85"/>
      <c r="D41" s="162">
        <v>2018</v>
      </c>
      <c r="E41" s="167">
        <f>SUM(F41:M41)</f>
        <v>3</v>
      </c>
      <c r="F41" s="335" t="s">
        <v>51</v>
      </c>
      <c r="G41" s="334">
        <f>2</f>
        <v>2</v>
      </c>
      <c r="H41" s="335" t="s">
        <v>51</v>
      </c>
      <c r="I41" s="335" t="s">
        <v>51</v>
      </c>
      <c r="J41" s="335"/>
      <c r="K41" s="335" t="s">
        <v>51</v>
      </c>
      <c r="L41" s="335" t="s">
        <v>51</v>
      </c>
      <c r="M41" s="334">
        <f>1</f>
        <v>1</v>
      </c>
    </row>
    <row r="42" spans="1:13" s="119" customFormat="1" ht="23.1" customHeight="1" x14ac:dyDescent="0.2">
      <c r="A42" s="233"/>
      <c r="B42" s="85"/>
      <c r="C42" s="85"/>
      <c r="D42" s="162"/>
      <c r="E42" s="167"/>
      <c r="F42" s="334"/>
      <c r="G42" s="334"/>
      <c r="H42" s="334"/>
      <c r="I42" s="334"/>
      <c r="J42" s="334"/>
      <c r="K42" s="334"/>
      <c r="L42" s="334"/>
      <c r="M42" s="334"/>
    </row>
    <row r="43" spans="1:13" s="119" customFormat="1" ht="23.1" customHeight="1" x14ac:dyDescent="0.2">
      <c r="A43" s="233"/>
      <c r="B43" s="85" t="s">
        <v>133</v>
      </c>
      <c r="C43" s="85"/>
      <c r="D43" s="162">
        <v>2016</v>
      </c>
      <c r="E43" s="167">
        <f>SUM(F43:M43)</f>
        <v>2</v>
      </c>
      <c r="F43" s="334" t="s">
        <v>51</v>
      </c>
      <c r="G43" s="334">
        <v>1</v>
      </c>
      <c r="H43" s="335" t="s">
        <v>51</v>
      </c>
      <c r="I43" s="335" t="s">
        <v>51</v>
      </c>
      <c r="J43" s="334"/>
      <c r="K43" s="335" t="s">
        <v>51</v>
      </c>
      <c r="L43" s="335" t="s">
        <v>51</v>
      </c>
      <c r="M43" s="334">
        <v>1</v>
      </c>
    </row>
    <row r="44" spans="1:13" s="119" customFormat="1" ht="23.1" customHeight="1" x14ac:dyDescent="0.2">
      <c r="A44" s="233"/>
      <c r="B44" s="85"/>
      <c r="C44" s="85"/>
      <c r="D44" s="162">
        <v>2017</v>
      </c>
      <c r="E44" s="167">
        <f>SUM(F44:M44)</f>
        <v>5</v>
      </c>
      <c r="F44" s="335" t="s">
        <v>51</v>
      </c>
      <c r="G44" s="334">
        <v>4</v>
      </c>
      <c r="H44" s="335" t="s">
        <v>51</v>
      </c>
      <c r="I44" s="335" t="s">
        <v>51</v>
      </c>
      <c r="J44" s="335"/>
      <c r="K44" s="335" t="s">
        <v>51</v>
      </c>
      <c r="L44" s="335" t="s">
        <v>51</v>
      </c>
      <c r="M44" s="334">
        <v>1</v>
      </c>
    </row>
    <row r="45" spans="1:13" s="119" customFormat="1" ht="23.1" customHeight="1" x14ac:dyDescent="0.2">
      <c r="A45" s="233"/>
      <c r="B45" s="85"/>
      <c r="C45" s="85"/>
      <c r="D45" s="162">
        <v>2018</v>
      </c>
      <c r="E45" s="167">
        <f>SUM(F45:M45)</f>
        <v>8</v>
      </c>
      <c r="F45" s="335" t="s">
        <v>51</v>
      </c>
      <c r="G45" s="334">
        <f>2</f>
        <v>2</v>
      </c>
      <c r="H45" s="335" t="s">
        <v>51</v>
      </c>
      <c r="I45" s="335" t="s">
        <v>51</v>
      </c>
      <c r="J45" s="335"/>
      <c r="K45" s="335" t="s">
        <v>51</v>
      </c>
      <c r="L45" s="335" t="s">
        <v>51</v>
      </c>
      <c r="M45" s="334">
        <f>6</f>
        <v>6</v>
      </c>
    </row>
    <row r="46" spans="1:13" s="119" customFormat="1" ht="23.1" customHeight="1" x14ac:dyDescent="0.2">
      <c r="A46" s="233"/>
      <c r="B46" s="85"/>
      <c r="C46" s="85"/>
      <c r="D46" s="162"/>
      <c r="E46" s="167"/>
      <c r="F46" s="334"/>
      <c r="G46" s="334"/>
      <c r="H46" s="334"/>
      <c r="I46" s="334"/>
      <c r="J46" s="334"/>
      <c r="K46" s="334"/>
      <c r="L46" s="334"/>
      <c r="M46" s="334"/>
    </row>
    <row r="47" spans="1:13" s="119" customFormat="1" ht="23.1" customHeight="1" x14ac:dyDescent="0.2">
      <c r="A47" s="233"/>
      <c r="B47" s="85" t="s">
        <v>134</v>
      </c>
      <c r="C47" s="85"/>
      <c r="D47" s="162">
        <v>2016</v>
      </c>
      <c r="E47" s="167">
        <f>SUM(F47:M47)</f>
        <v>16</v>
      </c>
      <c r="F47" s="334" t="s">
        <v>51</v>
      </c>
      <c r="G47" s="334">
        <v>8</v>
      </c>
      <c r="H47" s="335" t="s">
        <v>51</v>
      </c>
      <c r="I47" s="335" t="s">
        <v>51</v>
      </c>
      <c r="J47" s="334"/>
      <c r="K47" s="335" t="s">
        <v>51</v>
      </c>
      <c r="L47" s="335" t="s">
        <v>51</v>
      </c>
      <c r="M47" s="334">
        <v>8</v>
      </c>
    </row>
    <row r="48" spans="1:13" s="119" customFormat="1" ht="23.1" customHeight="1" x14ac:dyDescent="0.2">
      <c r="A48" s="233"/>
      <c r="B48" s="85"/>
      <c r="C48" s="85"/>
      <c r="D48" s="162">
        <v>2017</v>
      </c>
      <c r="E48" s="167">
        <f>SUM(F48:M48)</f>
        <v>11</v>
      </c>
      <c r="F48" s="334">
        <v>2</v>
      </c>
      <c r="G48" s="334">
        <v>3</v>
      </c>
      <c r="H48" s="335" t="s">
        <v>51</v>
      </c>
      <c r="I48" s="335" t="s">
        <v>51</v>
      </c>
      <c r="J48" s="335"/>
      <c r="K48" s="335" t="s">
        <v>51</v>
      </c>
      <c r="L48" s="335" t="s">
        <v>51</v>
      </c>
      <c r="M48" s="334">
        <v>6</v>
      </c>
    </row>
    <row r="49" spans="1:14" s="119" customFormat="1" ht="23.1" customHeight="1" x14ac:dyDescent="0.2">
      <c r="A49" s="233"/>
      <c r="B49" s="85"/>
      <c r="C49" s="85"/>
      <c r="D49" s="162">
        <v>2018</v>
      </c>
      <c r="E49" s="167">
        <f>SUM(F49:M49)</f>
        <v>8</v>
      </c>
      <c r="F49" s="335" t="s">
        <v>51</v>
      </c>
      <c r="G49" s="334">
        <f>1</f>
        <v>1</v>
      </c>
      <c r="H49" s="335" t="s">
        <v>51</v>
      </c>
      <c r="I49" s="335" t="s">
        <v>51</v>
      </c>
      <c r="J49" s="334"/>
      <c r="K49" s="335" t="s">
        <v>51</v>
      </c>
      <c r="L49" s="334">
        <v>1</v>
      </c>
      <c r="M49" s="334">
        <f>6</f>
        <v>6</v>
      </c>
    </row>
    <row r="50" spans="1:14" s="53" customFormat="1" ht="8.1" customHeight="1" thickBot="1" x14ac:dyDescent="0.25">
      <c r="A50" s="219"/>
      <c r="B50" s="220"/>
      <c r="C50" s="220"/>
      <c r="D50" s="220"/>
      <c r="E50" s="221"/>
      <c r="F50" s="222"/>
      <c r="G50" s="222"/>
      <c r="H50" s="222"/>
      <c r="I50" s="222"/>
      <c r="J50" s="222"/>
      <c r="K50" s="222"/>
      <c r="L50" s="222"/>
      <c r="M50" s="223"/>
      <c r="N50" s="219"/>
    </row>
    <row r="51" spans="1:14" s="53" customFormat="1" ht="12.75" x14ac:dyDescent="0.2">
      <c r="B51" s="118"/>
      <c r="C51" s="118"/>
      <c r="D51" s="118"/>
      <c r="E51" s="66"/>
      <c r="F51" s="117"/>
      <c r="G51" s="117"/>
      <c r="H51" s="117"/>
      <c r="I51" s="117"/>
      <c r="J51" s="117"/>
      <c r="K51" s="117"/>
      <c r="L51" s="117"/>
      <c r="M51" s="213"/>
      <c r="N51" s="8" t="s">
        <v>101</v>
      </c>
    </row>
    <row r="52" spans="1:14" s="53" customFormat="1" ht="12.75" x14ac:dyDescent="0.2">
      <c r="B52" s="118"/>
      <c r="C52" s="118"/>
      <c r="D52" s="118"/>
      <c r="E52" s="66"/>
      <c r="F52" s="117"/>
      <c r="G52" s="117"/>
      <c r="H52" s="117"/>
      <c r="I52" s="117"/>
      <c r="J52" s="117"/>
      <c r="K52" s="117"/>
      <c r="L52" s="117"/>
      <c r="M52" s="213"/>
      <c r="N52" s="41" t="s">
        <v>1</v>
      </c>
    </row>
    <row r="53" spans="1:14" s="7" customFormat="1" ht="17.100000000000001" customHeight="1" x14ac:dyDescent="0.2">
      <c r="A53" s="238"/>
      <c r="B53" s="40"/>
      <c r="C53" s="40"/>
      <c r="D53" s="43"/>
      <c r="E53" s="10"/>
      <c r="F53" s="10"/>
      <c r="G53" s="10"/>
      <c r="H53" s="10"/>
      <c r="I53" s="10"/>
      <c r="J53" s="10"/>
      <c r="K53" s="10"/>
      <c r="L53" s="10"/>
      <c r="M53" s="10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1"/>
  <sheetViews>
    <sheetView showGridLines="0" tabSelected="1" topLeftCell="A5" zoomScaleNormal="100" zoomScaleSheetLayoutView="100" workbookViewId="0">
      <selection activeCell="J23" sqref="J23"/>
    </sheetView>
  </sheetViews>
  <sheetFormatPr defaultRowHeight="15" x14ac:dyDescent="0.25"/>
  <cols>
    <col min="1" max="1" width="1.5703125" style="2" customWidth="1"/>
    <col min="2" max="2" width="9.8554687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203</v>
      </c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109" customFormat="1" ht="20.100000000000001" customHeight="1" x14ac:dyDescent="0.2">
      <c r="A15" s="233"/>
      <c r="B15" s="127" t="s">
        <v>207</v>
      </c>
      <c r="C15" s="127"/>
      <c r="D15" s="65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4" s="119" customFormat="1" ht="20.100000000000001" customHeight="1" x14ac:dyDescent="0.2">
      <c r="A16" s="233"/>
      <c r="B16" s="85"/>
      <c r="C16" s="85"/>
      <c r="D16" s="65"/>
      <c r="E16" s="167"/>
      <c r="F16" s="167"/>
      <c r="G16" s="167"/>
      <c r="H16" s="167"/>
      <c r="I16" s="167"/>
      <c r="J16" s="167"/>
      <c r="K16" s="167"/>
      <c r="L16" s="167"/>
      <c r="M16" s="167"/>
    </row>
    <row r="17" spans="1:13" s="119" customFormat="1" ht="20.100000000000001" customHeight="1" x14ac:dyDescent="0.2">
      <c r="A17" s="233"/>
      <c r="B17" s="85" t="s">
        <v>135</v>
      </c>
      <c r="C17" s="85"/>
      <c r="D17" s="162">
        <v>2016</v>
      </c>
      <c r="E17" s="167">
        <f>SUM(F17:M17)</f>
        <v>45</v>
      </c>
      <c r="F17" s="387">
        <v>3</v>
      </c>
      <c r="G17" s="167">
        <v>3</v>
      </c>
      <c r="H17" s="167">
        <v>1</v>
      </c>
      <c r="I17" s="167">
        <v>22</v>
      </c>
      <c r="J17" s="167"/>
      <c r="K17" s="165" t="s">
        <v>51</v>
      </c>
      <c r="L17" s="165" t="s">
        <v>51</v>
      </c>
      <c r="M17" s="167">
        <v>16</v>
      </c>
    </row>
    <row r="18" spans="1:13" s="119" customFormat="1" ht="20.100000000000001" customHeight="1" x14ac:dyDescent="0.2">
      <c r="A18" s="233"/>
      <c r="B18" s="85"/>
      <c r="C18" s="85"/>
      <c r="D18" s="162">
        <v>2017</v>
      </c>
      <c r="E18" s="167">
        <f>SUM(F18:M18)</f>
        <v>45</v>
      </c>
      <c r="F18" s="387">
        <v>1</v>
      </c>
      <c r="G18" s="167">
        <v>4</v>
      </c>
      <c r="H18" s="165" t="s">
        <v>51</v>
      </c>
      <c r="I18" s="167">
        <v>13</v>
      </c>
      <c r="J18" s="167"/>
      <c r="K18" s="167">
        <v>1</v>
      </c>
      <c r="L18" s="167">
        <v>7</v>
      </c>
      <c r="M18" s="167">
        <v>19</v>
      </c>
    </row>
    <row r="19" spans="1:13" s="119" customFormat="1" ht="20.100000000000001" customHeight="1" x14ac:dyDescent="0.2">
      <c r="A19" s="233"/>
      <c r="B19" s="85"/>
      <c r="C19" s="85"/>
      <c r="D19" s="162">
        <v>2018</v>
      </c>
      <c r="E19" s="167">
        <f>SUM(F19:M19)</f>
        <v>31</v>
      </c>
      <c r="F19" s="388" t="s">
        <v>51</v>
      </c>
      <c r="G19" s="167">
        <v>6</v>
      </c>
      <c r="H19" s="167">
        <v>1</v>
      </c>
      <c r="I19" s="167">
        <v>15</v>
      </c>
      <c r="J19" s="167"/>
      <c r="K19" s="165" t="s">
        <v>51</v>
      </c>
      <c r="L19" s="167">
        <v>3</v>
      </c>
      <c r="M19" s="167">
        <v>6</v>
      </c>
    </row>
    <row r="20" spans="1:13" s="119" customFormat="1" ht="20.100000000000001" customHeight="1" x14ac:dyDescent="0.2">
      <c r="A20" s="233"/>
      <c r="B20" s="85"/>
      <c r="C20" s="85"/>
      <c r="D20" s="162"/>
      <c r="E20" s="167"/>
      <c r="F20" s="387"/>
      <c r="G20" s="167"/>
      <c r="H20" s="167"/>
      <c r="I20" s="167"/>
      <c r="J20" s="167"/>
      <c r="K20" s="167"/>
      <c r="L20" s="167"/>
      <c r="M20" s="167"/>
    </row>
    <row r="21" spans="1:13" s="53" customFormat="1" ht="20.100000000000001" customHeight="1" x14ac:dyDescent="0.2">
      <c r="A21" s="233"/>
      <c r="B21" s="85" t="s">
        <v>136</v>
      </c>
      <c r="C21" s="85"/>
      <c r="D21" s="162">
        <v>2016</v>
      </c>
      <c r="E21" s="167">
        <f>SUM(F21:M21)</f>
        <v>203</v>
      </c>
      <c r="F21" s="387">
        <v>1</v>
      </c>
      <c r="G21" s="167">
        <v>12</v>
      </c>
      <c r="H21" s="167">
        <v>1</v>
      </c>
      <c r="I21" s="167">
        <v>91</v>
      </c>
      <c r="J21" s="167"/>
      <c r="K21" s="165" t="s">
        <v>51</v>
      </c>
      <c r="L21" s="167">
        <v>23</v>
      </c>
      <c r="M21" s="167">
        <v>75</v>
      </c>
    </row>
    <row r="22" spans="1:13" s="53" customFormat="1" ht="20.100000000000001" customHeight="1" x14ac:dyDescent="0.2">
      <c r="A22" s="233"/>
      <c r="B22" s="85"/>
      <c r="C22" s="85"/>
      <c r="D22" s="162">
        <v>2017</v>
      </c>
      <c r="E22" s="167">
        <f>SUM(F22:M22)</f>
        <v>180</v>
      </c>
      <c r="F22" s="387">
        <v>2</v>
      </c>
      <c r="G22" s="167">
        <v>15</v>
      </c>
      <c r="H22" s="165" t="s">
        <v>51</v>
      </c>
      <c r="I22" s="167">
        <v>59</v>
      </c>
      <c r="J22" s="167"/>
      <c r="K22" s="165" t="s">
        <v>51</v>
      </c>
      <c r="L22" s="167">
        <v>24</v>
      </c>
      <c r="M22" s="167">
        <v>80</v>
      </c>
    </row>
    <row r="23" spans="1:13" s="53" customFormat="1" ht="20.100000000000001" customHeight="1" x14ac:dyDescent="0.2">
      <c r="A23" s="233"/>
      <c r="B23" s="85"/>
      <c r="C23" s="85"/>
      <c r="D23" s="162">
        <v>2018</v>
      </c>
      <c r="E23" s="167">
        <f>SUM(F23:M23)</f>
        <v>101</v>
      </c>
      <c r="F23" s="387">
        <v>1</v>
      </c>
      <c r="G23" s="167">
        <v>10</v>
      </c>
      <c r="H23" s="165" t="s">
        <v>51</v>
      </c>
      <c r="I23" s="167">
        <v>54</v>
      </c>
      <c r="J23" s="167"/>
      <c r="K23" s="165" t="s">
        <v>51</v>
      </c>
      <c r="L23" s="167">
        <v>30</v>
      </c>
      <c r="M23" s="167">
        <v>6</v>
      </c>
    </row>
    <row r="24" spans="1:13" s="53" customFormat="1" ht="20.100000000000001" customHeight="1" x14ac:dyDescent="0.2">
      <c r="A24" s="233"/>
      <c r="B24" s="85"/>
      <c r="C24" s="85"/>
      <c r="D24" s="162"/>
      <c r="E24" s="167"/>
      <c r="F24" s="387"/>
      <c r="G24" s="167"/>
      <c r="H24" s="167"/>
      <c r="I24" s="167"/>
      <c r="J24" s="167"/>
      <c r="K24" s="167"/>
      <c r="L24" s="167"/>
      <c r="M24" s="167"/>
    </row>
    <row r="25" spans="1:13" s="53" customFormat="1" ht="20.100000000000001" customHeight="1" x14ac:dyDescent="0.2">
      <c r="A25" s="233"/>
      <c r="B25" s="85" t="s">
        <v>137</v>
      </c>
      <c r="C25" s="85"/>
      <c r="D25" s="162">
        <v>2016</v>
      </c>
      <c r="E25" s="167">
        <f>SUM(F25:M25)</f>
        <v>8</v>
      </c>
      <c r="F25" s="387" t="s">
        <v>51</v>
      </c>
      <c r="G25" s="167">
        <v>2</v>
      </c>
      <c r="H25" s="165" t="s">
        <v>51</v>
      </c>
      <c r="I25" s="167">
        <v>2</v>
      </c>
      <c r="J25" s="167"/>
      <c r="K25" s="165" t="s">
        <v>51</v>
      </c>
      <c r="L25" s="167">
        <v>1</v>
      </c>
      <c r="M25" s="167">
        <v>3</v>
      </c>
    </row>
    <row r="26" spans="1:13" s="53" customFormat="1" ht="20.100000000000001" customHeight="1" x14ac:dyDescent="0.2">
      <c r="A26" s="233"/>
      <c r="B26" s="85"/>
      <c r="C26" s="85"/>
      <c r="D26" s="162">
        <v>2017</v>
      </c>
      <c r="E26" s="167">
        <f>SUM(F26:M26)</f>
        <v>4</v>
      </c>
      <c r="F26" s="388" t="s">
        <v>51</v>
      </c>
      <c r="G26" s="167">
        <v>1</v>
      </c>
      <c r="H26" s="165" t="s">
        <v>51</v>
      </c>
      <c r="I26" s="165" t="s">
        <v>51</v>
      </c>
      <c r="J26" s="167"/>
      <c r="K26" s="165" t="s">
        <v>51</v>
      </c>
      <c r="L26" s="167">
        <v>1</v>
      </c>
      <c r="M26" s="167">
        <v>2</v>
      </c>
    </row>
    <row r="27" spans="1:13" s="53" customFormat="1" ht="20.100000000000001" customHeight="1" x14ac:dyDescent="0.2">
      <c r="A27" s="233"/>
      <c r="B27" s="85"/>
      <c r="C27" s="85"/>
      <c r="D27" s="162">
        <v>2018</v>
      </c>
      <c r="E27" s="167">
        <f>SUM(F27:M27)</f>
        <v>26</v>
      </c>
      <c r="F27" s="388" t="s">
        <v>51</v>
      </c>
      <c r="G27" s="167">
        <v>4</v>
      </c>
      <c r="H27" s="165" t="s">
        <v>51</v>
      </c>
      <c r="I27" s="167">
        <v>1</v>
      </c>
      <c r="J27" s="167"/>
      <c r="K27" s="165" t="s">
        <v>51</v>
      </c>
      <c r="L27" s="165" t="s">
        <v>51</v>
      </c>
      <c r="M27" s="167">
        <v>21</v>
      </c>
    </row>
    <row r="28" spans="1:13" s="53" customFormat="1" ht="20.100000000000001" customHeight="1" x14ac:dyDescent="0.2">
      <c r="A28" s="233"/>
      <c r="B28" s="85"/>
      <c r="C28" s="85"/>
      <c r="D28" s="162"/>
      <c r="E28" s="167"/>
      <c r="F28" s="387"/>
      <c r="G28" s="167"/>
      <c r="H28" s="167"/>
      <c r="I28" s="167"/>
      <c r="J28" s="167"/>
      <c r="K28" s="167"/>
      <c r="L28" s="167"/>
      <c r="M28" s="167"/>
    </row>
    <row r="29" spans="1:13" s="53" customFormat="1" ht="20.100000000000001" customHeight="1" x14ac:dyDescent="0.2">
      <c r="A29" s="233"/>
      <c r="B29" s="85" t="s">
        <v>138</v>
      </c>
      <c r="C29" s="85"/>
      <c r="D29" s="162">
        <v>2016</v>
      </c>
      <c r="E29" s="167">
        <f>SUM(F29:M29)</f>
        <v>18</v>
      </c>
      <c r="F29" s="387" t="s">
        <v>51</v>
      </c>
      <c r="G29" s="167">
        <v>5</v>
      </c>
      <c r="H29" s="167">
        <v>1</v>
      </c>
      <c r="I29" s="167">
        <v>1</v>
      </c>
      <c r="J29" s="167"/>
      <c r="K29" s="165" t="s">
        <v>51</v>
      </c>
      <c r="L29" s="165" t="s">
        <v>51</v>
      </c>
      <c r="M29" s="167">
        <v>11</v>
      </c>
    </row>
    <row r="30" spans="1:13" s="53" customFormat="1" ht="20.100000000000001" customHeight="1" x14ac:dyDescent="0.2">
      <c r="A30" s="233"/>
      <c r="B30" s="85"/>
      <c r="C30" s="85"/>
      <c r="D30" s="162">
        <v>2017</v>
      </c>
      <c r="E30" s="167">
        <f>SUM(F30:M30)</f>
        <v>15</v>
      </c>
      <c r="F30" s="387">
        <v>1</v>
      </c>
      <c r="G30" s="167">
        <v>5</v>
      </c>
      <c r="H30" s="167">
        <v>1</v>
      </c>
      <c r="I30" s="165" t="s">
        <v>51</v>
      </c>
      <c r="J30" s="167"/>
      <c r="K30" s="165" t="s">
        <v>51</v>
      </c>
      <c r="L30" s="165" t="s">
        <v>51</v>
      </c>
      <c r="M30" s="167">
        <v>8</v>
      </c>
    </row>
    <row r="31" spans="1:13" s="53" customFormat="1" ht="20.100000000000001" customHeight="1" x14ac:dyDescent="0.2">
      <c r="A31" s="233"/>
      <c r="B31" s="85"/>
      <c r="C31" s="85"/>
      <c r="D31" s="162">
        <v>2018</v>
      </c>
      <c r="E31" s="167">
        <f>SUM(F31:M31)</f>
        <v>48</v>
      </c>
      <c r="F31" s="387">
        <v>1</v>
      </c>
      <c r="G31" s="167">
        <v>3</v>
      </c>
      <c r="H31" s="165" t="s">
        <v>51</v>
      </c>
      <c r="I31" s="165" t="s">
        <v>51</v>
      </c>
      <c r="J31" s="167"/>
      <c r="K31" s="165" t="s">
        <v>51</v>
      </c>
      <c r="L31" s="167">
        <v>1</v>
      </c>
      <c r="M31" s="167">
        <v>43</v>
      </c>
    </row>
    <row r="32" spans="1:13" s="53" customFormat="1" ht="20.100000000000001" customHeight="1" x14ac:dyDescent="0.2">
      <c r="A32" s="233"/>
      <c r="B32" s="85"/>
      <c r="C32" s="85"/>
      <c r="D32" s="162"/>
      <c r="E32" s="167"/>
      <c r="F32" s="387"/>
      <c r="G32" s="167"/>
      <c r="H32" s="167"/>
      <c r="I32" s="167"/>
      <c r="J32" s="167"/>
      <c r="K32" s="167"/>
      <c r="L32" s="167"/>
      <c r="M32" s="167"/>
    </row>
    <row r="33" spans="1:13" s="53" customFormat="1" ht="20.100000000000001" customHeight="1" x14ac:dyDescent="0.2">
      <c r="A33" s="233"/>
      <c r="B33" s="85" t="s">
        <v>139</v>
      </c>
      <c r="C33" s="85"/>
      <c r="D33" s="162">
        <v>2016</v>
      </c>
      <c r="E33" s="167">
        <f>SUM(F33:M33)</f>
        <v>6</v>
      </c>
      <c r="F33" s="387" t="s">
        <v>51</v>
      </c>
      <c r="G33" s="167" t="s">
        <v>51</v>
      </c>
      <c r="H33" s="165" t="s">
        <v>51</v>
      </c>
      <c r="I33" s="167">
        <v>1</v>
      </c>
      <c r="J33" s="167"/>
      <c r="K33" s="165" t="s">
        <v>51</v>
      </c>
      <c r="L33" s="165" t="s">
        <v>51</v>
      </c>
      <c r="M33" s="167">
        <v>5</v>
      </c>
    </row>
    <row r="34" spans="1:13" s="53" customFormat="1" ht="20.100000000000001" customHeight="1" x14ac:dyDescent="0.2">
      <c r="A34" s="233"/>
      <c r="B34" s="85"/>
      <c r="C34" s="85"/>
      <c r="D34" s="162">
        <v>2017</v>
      </c>
      <c r="E34" s="167">
        <f>SUM(F34:M34)</f>
        <v>2</v>
      </c>
      <c r="F34" s="388" t="s">
        <v>51</v>
      </c>
      <c r="G34" s="167">
        <v>1</v>
      </c>
      <c r="H34" s="165" t="s">
        <v>51</v>
      </c>
      <c r="I34" s="165" t="s">
        <v>51</v>
      </c>
      <c r="J34" s="165"/>
      <c r="K34" s="165" t="s">
        <v>51</v>
      </c>
      <c r="L34" s="165" t="s">
        <v>51</v>
      </c>
      <c r="M34" s="167">
        <v>1</v>
      </c>
    </row>
    <row r="35" spans="1:13" s="53" customFormat="1" ht="20.100000000000001" customHeight="1" x14ac:dyDescent="0.2">
      <c r="A35" s="233"/>
      <c r="B35" s="85"/>
      <c r="C35" s="85"/>
      <c r="D35" s="162">
        <v>2018</v>
      </c>
      <c r="E35" s="167">
        <f>SUM(F35:M35)</f>
        <v>5</v>
      </c>
      <c r="F35" s="388" t="s">
        <v>51</v>
      </c>
      <c r="G35" s="167">
        <v>3</v>
      </c>
      <c r="H35" s="165" t="s">
        <v>51</v>
      </c>
      <c r="I35" s="165" t="s">
        <v>51</v>
      </c>
      <c r="J35" s="165"/>
      <c r="K35" s="165" t="s">
        <v>51</v>
      </c>
      <c r="L35" s="165" t="s">
        <v>51</v>
      </c>
      <c r="M35" s="167">
        <v>2</v>
      </c>
    </row>
    <row r="36" spans="1:13" s="53" customFormat="1" ht="20.100000000000001" customHeight="1" x14ac:dyDescent="0.2">
      <c r="A36" s="233"/>
      <c r="B36" s="85"/>
      <c r="C36" s="85"/>
      <c r="D36" s="162"/>
      <c r="E36" s="167"/>
      <c r="F36" s="387"/>
      <c r="G36" s="167"/>
      <c r="H36" s="167"/>
      <c r="I36" s="167"/>
      <c r="J36" s="167"/>
      <c r="K36" s="167"/>
      <c r="L36" s="167"/>
      <c r="M36" s="167"/>
    </row>
    <row r="37" spans="1:13" s="53" customFormat="1" ht="20.100000000000001" customHeight="1" x14ac:dyDescent="0.2">
      <c r="A37" s="233"/>
      <c r="B37" s="85" t="s">
        <v>140</v>
      </c>
      <c r="C37" s="85"/>
      <c r="D37" s="162">
        <v>2016</v>
      </c>
      <c r="E37" s="167">
        <f>SUM(F37:M37)</f>
        <v>15</v>
      </c>
      <c r="F37" s="387" t="s">
        <v>51</v>
      </c>
      <c r="G37" s="167">
        <v>1</v>
      </c>
      <c r="H37" s="165" t="s">
        <v>51</v>
      </c>
      <c r="I37" s="167">
        <v>6</v>
      </c>
      <c r="J37" s="167"/>
      <c r="K37" s="165" t="s">
        <v>51</v>
      </c>
      <c r="L37" s="167">
        <v>2</v>
      </c>
      <c r="M37" s="167">
        <v>6</v>
      </c>
    </row>
    <row r="38" spans="1:13" s="53" customFormat="1" ht="20.100000000000001" customHeight="1" x14ac:dyDescent="0.2">
      <c r="A38" s="233"/>
      <c r="B38" s="85"/>
      <c r="C38" s="85"/>
      <c r="D38" s="162">
        <v>2017</v>
      </c>
      <c r="E38" s="167">
        <f>SUM(F38:M38)</f>
        <v>7</v>
      </c>
      <c r="F38" s="388" t="s">
        <v>51</v>
      </c>
      <c r="G38" s="165" t="s">
        <v>51</v>
      </c>
      <c r="H38" s="165" t="s">
        <v>51</v>
      </c>
      <c r="I38" s="167">
        <v>2</v>
      </c>
      <c r="J38" s="167"/>
      <c r="K38" s="165" t="s">
        <v>51</v>
      </c>
      <c r="L38" s="165" t="s">
        <v>51</v>
      </c>
      <c r="M38" s="167">
        <v>5</v>
      </c>
    </row>
    <row r="39" spans="1:13" s="53" customFormat="1" ht="20.100000000000001" customHeight="1" x14ac:dyDescent="0.2">
      <c r="A39" s="233"/>
      <c r="B39" s="85"/>
      <c r="C39" s="85"/>
      <c r="D39" s="162">
        <v>2018</v>
      </c>
      <c r="E39" s="167">
        <f>SUM(F39:M39)</f>
        <v>9</v>
      </c>
      <c r="F39" s="388" t="s">
        <v>51</v>
      </c>
      <c r="G39" s="167">
        <v>2</v>
      </c>
      <c r="H39" s="165" t="s">
        <v>51</v>
      </c>
      <c r="I39" s="165" t="s">
        <v>51</v>
      </c>
      <c r="J39" s="165"/>
      <c r="K39" s="165" t="s">
        <v>51</v>
      </c>
      <c r="L39" s="165" t="s">
        <v>51</v>
      </c>
      <c r="M39" s="167">
        <v>7</v>
      </c>
    </row>
    <row r="40" spans="1:13" s="53" customFormat="1" ht="20.100000000000001" customHeight="1" x14ac:dyDescent="0.2">
      <c r="A40" s="233"/>
      <c r="B40" s="85"/>
      <c r="C40" s="85"/>
      <c r="D40" s="162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3" s="53" customFormat="1" ht="20.100000000000001" customHeight="1" x14ac:dyDescent="0.2">
      <c r="A41" s="233"/>
      <c r="B41" s="85" t="s">
        <v>141</v>
      </c>
      <c r="C41" s="85"/>
      <c r="D41" s="162">
        <v>2016</v>
      </c>
      <c r="E41" s="167">
        <f>SUM(F41:M41)</f>
        <v>26</v>
      </c>
      <c r="F41" s="167">
        <v>1</v>
      </c>
      <c r="G41" s="167">
        <v>4</v>
      </c>
      <c r="H41" s="165" t="s">
        <v>51</v>
      </c>
      <c r="I41" s="167">
        <v>1</v>
      </c>
      <c r="J41" s="167"/>
      <c r="K41" s="165" t="s">
        <v>51</v>
      </c>
      <c r="L41" s="165" t="s">
        <v>51</v>
      </c>
      <c r="M41" s="167">
        <v>20</v>
      </c>
    </row>
    <row r="42" spans="1:13" s="53" customFormat="1" ht="20.100000000000001" customHeight="1" x14ac:dyDescent="0.2">
      <c r="A42" s="233"/>
      <c r="B42" s="85"/>
      <c r="C42" s="85"/>
      <c r="D42" s="162">
        <v>2017</v>
      </c>
      <c r="E42" s="167">
        <f>SUM(F42:M42)</f>
        <v>21</v>
      </c>
      <c r="F42" s="165" t="s">
        <v>51</v>
      </c>
      <c r="G42" s="167">
        <v>4</v>
      </c>
      <c r="H42" s="165" t="s">
        <v>51</v>
      </c>
      <c r="I42" s="167">
        <v>1</v>
      </c>
      <c r="J42" s="167"/>
      <c r="K42" s="165" t="s">
        <v>51</v>
      </c>
      <c r="L42" s="165" t="s">
        <v>51</v>
      </c>
      <c r="M42" s="167">
        <v>16</v>
      </c>
    </row>
    <row r="43" spans="1:13" s="53" customFormat="1" ht="20.100000000000001" customHeight="1" x14ac:dyDescent="0.2">
      <c r="A43" s="233"/>
      <c r="B43" s="85"/>
      <c r="C43" s="85"/>
      <c r="D43" s="162">
        <v>2018</v>
      </c>
      <c r="E43" s="167">
        <f>SUM(F43:M43)</f>
        <v>89</v>
      </c>
      <c r="F43" s="117">
        <f>1</f>
        <v>1</v>
      </c>
      <c r="G43" s="117">
        <f>2</f>
        <v>2</v>
      </c>
      <c r="H43" s="328" t="s">
        <v>51</v>
      </c>
      <c r="I43" s="117">
        <v>1</v>
      </c>
      <c r="J43" s="117"/>
      <c r="K43" s="328" t="s">
        <v>51</v>
      </c>
      <c r="L43" s="328" t="s">
        <v>51</v>
      </c>
      <c r="M43" s="53">
        <f>85</f>
        <v>85</v>
      </c>
    </row>
    <row r="44" spans="1:13" s="53" customFormat="1" ht="20.100000000000001" customHeight="1" x14ac:dyDescent="0.2">
      <c r="A44" s="233"/>
      <c r="B44" s="85"/>
      <c r="C44" s="85"/>
      <c r="D44" s="162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53" customFormat="1" ht="20.100000000000001" customHeight="1" x14ac:dyDescent="0.2">
      <c r="A45" s="233"/>
      <c r="B45" s="85" t="s">
        <v>142</v>
      </c>
      <c r="C45" s="85"/>
      <c r="D45" s="162">
        <v>2016</v>
      </c>
      <c r="E45" s="167">
        <f>SUM(F45:M45)</f>
        <v>8</v>
      </c>
      <c r="F45" s="167">
        <v>1</v>
      </c>
      <c r="G45" s="167">
        <v>3</v>
      </c>
      <c r="H45" s="165" t="s">
        <v>51</v>
      </c>
      <c r="I45" s="165" t="s">
        <v>51</v>
      </c>
      <c r="J45" s="167"/>
      <c r="K45" s="165" t="s">
        <v>51</v>
      </c>
      <c r="L45" s="167">
        <v>1</v>
      </c>
      <c r="M45" s="167">
        <v>3</v>
      </c>
    </row>
    <row r="46" spans="1:13" s="53" customFormat="1" ht="20.100000000000001" customHeight="1" x14ac:dyDescent="0.2">
      <c r="A46" s="233"/>
      <c r="B46" s="85"/>
      <c r="C46" s="85"/>
      <c r="D46" s="162">
        <v>2017</v>
      </c>
      <c r="E46" s="167">
        <f>SUM(F46:M46)</f>
        <v>3</v>
      </c>
      <c r="F46" s="165" t="s">
        <v>51</v>
      </c>
      <c r="G46" s="167">
        <v>1</v>
      </c>
      <c r="H46" s="167">
        <v>1</v>
      </c>
      <c r="I46" s="165" t="s">
        <v>51</v>
      </c>
      <c r="J46" s="167"/>
      <c r="K46" s="165" t="s">
        <v>51</v>
      </c>
      <c r="L46" s="165" t="s">
        <v>51</v>
      </c>
      <c r="M46" s="167">
        <v>1</v>
      </c>
    </row>
    <row r="47" spans="1:13" s="53" customFormat="1" ht="20.100000000000001" customHeight="1" x14ac:dyDescent="0.2">
      <c r="A47" s="233"/>
      <c r="B47" s="85"/>
      <c r="C47" s="85"/>
      <c r="D47" s="162">
        <v>2018</v>
      </c>
      <c r="E47" s="167">
        <f>SUM(F47:M47)</f>
        <v>10</v>
      </c>
      <c r="F47" s="328" t="s">
        <v>51</v>
      </c>
      <c r="G47" s="328" t="s">
        <v>51</v>
      </c>
      <c r="H47" s="328" t="s">
        <v>51</v>
      </c>
      <c r="I47" s="117">
        <v>1</v>
      </c>
      <c r="J47" s="117"/>
      <c r="K47" s="328" t="s">
        <v>51</v>
      </c>
      <c r="L47" s="328" t="s">
        <v>51</v>
      </c>
      <c r="M47" s="53">
        <f>9</f>
        <v>9</v>
      </c>
    </row>
    <row r="48" spans="1:13" s="53" customFormat="1" ht="20.100000000000001" customHeight="1" x14ac:dyDescent="0.2">
      <c r="A48" s="233"/>
      <c r="B48" s="85"/>
      <c r="C48" s="85"/>
      <c r="D48" s="162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4" s="53" customFormat="1" ht="20.100000000000001" customHeight="1" x14ac:dyDescent="0.2">
      <c r="A49" s="233"/>
      <c r="B49" s="85" t="s">
        <v>143</v>
      </c>
      <c r="C49" s="85"/>
      <c r="D49" s="162">
        <v>2016</v>
      </c>
      <c r="E49" s="167">
        <f>SUM(F49:M49)</f>
        <v>7</v>
      </c>
      <c r="F49" s="167" t="s">
        <v>51</v>
      </c>
      <c r="G49" s="167">
        <v>1</v>
      </c>
      <c r="H49" s="165" t="s">
        <v>51</v>
      </c>
      <c r="I49" s="167">
        <v>3</v>
      </c>
      <c r="J49" s="167"/>
      <c r="K49" s="165" t="s">
        <v>51</v>
      </c>
      <c r="L49" s="165" t="s">
        <v>51</v>
      </c>
      <c r="M49" s="167">
        <v>3</v>
      </c>
    </row>
    <row r="50" spans="1:14" s="53" customFormat="1" ht="20.100000000000001" customHeight="1" x14ac:dyDescent="0.2">
      <c r="A50" s="233"/>
      <c r="B50" s="85"/>
      <c r="C50" s="85"/>
      <c r="D50" s="162">
        <v>2017</v>
      </c>
      <c r="E50" s="167">
        <f>SUM(F50:M50)</f>
        <v>7</v>
      </c>
      <c r="F50" s="167">
        <v>1</v>
      </c>
      <c r="G50" s="167">
        <v>1</v>
      </c>
      <c r="H50" s="165" t="s">
        <v>51</v>
      </c>
      <c r="I50" s="165" t="s">
        <v>51</v>
      </c>
      <c r="J50" s="165"/>
      <c r="K50" s="165" t="s">
        <v>51</v>
      </c>
      <c r="L50" s="165" t="s">
        <v>51</v>
      </c>
      <c r="M50" s="167">
        <v>5</v>
      </c>
    </row>
    <row r="51" spans="1:14" s="53" customFormat="1" ht="20.100000000000001" customHeight="1" x14ac:dyDescent="0.2">
      <c r="A51" s="233"/>
      <c r="B51" s="85"/>
      <c r="C51" s="85"/>
      <c r="D51" s="162">
        <v>2018</v>
      </c>
      <c r="E51" s="167">
        <f>SUM(F51:M51)</f>
        <v>30</v>
      </c>
      <c r="F51" s="328" t="s">
        <v>51</v>
      </c>
      <c r="G51" s="117">
        <f>1</f>
        <v>1</v>
      </c>
      <c r="H51" s="328" t="s">
        <v>51</v>
      </c>
      <c r="I51" s="117">
        <v>1</v>
      </c>
      <c r="J51" s="117"/>
      <c r="K51" s="328" t="s">
        <v>51</v>
      </c>
      <c r="L51" s="117">
        <v>1</v>
      </c>
      <c r="M51" s="53">
        <f>27</f>
        <v>27</v>
      </c>
    </row>
    <row r="52" spans="1:14" s="53" customFormat="1" ht="20.100000000000001" customHeight="1" x14ac:dyDescent="0.2">
      <c r="A52" s="233"/>
      <c r="B52" s="85"/>
      <c r="C52" s="85"/>
      <c r="D52" s="162"/>
      <c r="E52" s="167"/>
      <c r="F52" s="167"/>
      <c r="G52" s="167"/>
      <c r="H52" s="167"/>
      <c r="I52" s="167"/>
      <c r="J52" s="167"/>
      <c r="K52" s="167"/>
      <c r="L52" s="167"/>
      <c r="M52" s="167"/>
    </row>
    <row r="53" spans="1:14" s="53" customFormat="1" ht="20.100000000000001" customHeight="1" x14ac:dyDescent="0.2">
      <c r="A53" s="233"/>
      <c r="B53" s="85" t="s">
        <v>144</v>
      </c>
      <c r="C53" s="85"/>
      <c r="D53" s="162">
        <v>2016</v>
      </c>
      <c r="E53" s="167">
        <f>SUM(F53:M53)</f>
        <v>187</v>
      </c>
      <c r="F53" s="167">
        <v>2</v>
      </c>
      <c r="G53" s="167">
        <v>18</v>
      </c>
      <c r="H53" s="167">
        <v>2</v>
      </c>
      <c r="I53" s="167">
        <v>51</v>
      </c>
      <c r="J53" s="167"/>
      <c r="K53" s="167">
        <v>2</v>
      </c>
      <c r="L53" s="167">
        <v>28</v>
      </c>
      <c r="M53" s="167">
        <v>84</v>
      </c>
    </row>
    <row r="54" spans="1:14" s="53" customFormat="1" ht="20.100000000000001" customHeight="1" x14ac:dyDescent="0.2">
      <c r="A54" s="233"/>
      <c r="B54" s="85"/>
      <c r="C54" s="85"/>
      <c r="D54" s="162">
        <v>2017</v>
      </c>
      <c r="E54" s="167">
        <f>SUM(F54:M54)</f>
        <v>163</v>
      </c>
      <c r="F54" s="167">
        <v>7</v>
      </c>
      <c r="G54" s="167">
        <v>27</v>
      </c>
      <c r="H54" s="165" t="s">
        <v>51</v>
      </c>
      <c r="I54" s="167">
        <v>49</v>
      </c>
      <c r="J54" s="167"/>
      <c r="K54" s="165" t="s">
        <v>51</v>
      </c>
      <c r="L54" s="167">
        <v>19</v>
      </c>
      <c r="M54" s="167">
        <v>61</v>
      </c>
    </row>
    <row r="55" spans="1:14" s="53" customFormat="1" ht="20.100000000000001" customHeight="1" x14ac:dyDescent="0.2">
      <c r="A55" s="233"/>
      <c r="B55" s="85"/>
      <c r="C55" s="85"/>
      <c r="D55" s="162">
        <v>2018</v>
      </c>
      <c r="E55" s="167">
        <f>SUM(F55:M55)</f>
        <v>74</v>
      </c>
      <c r="F55" s="117">
        <f>3</f>
        <v>3</v>
      </c>
      <c r="G55" s="117">
        <f>20</f>
        <v>20</v>
      </c>
      <c r="H55" s="328" t="s">
        <v>51</v>
      </c>
      <c r="I55" s="117">
        <v>33</v>
      </c>
      <c r="J55" s="117"/>
      <c r="K55" s="328" t="s">
        <v>51</v>
      </c>
      <c r="L55" s="117">
        <v>17</v>
      </c>
      <c r="M55" s="53">
        <f>1</f>
        <v>1</v>
      </c>
    </row>
    <row r="56" spans="1:14" s="53" customFormat="1" ht="8.1" customHeight="1" thickBot="1" x14ac:dyDescent="0.25">
      <c r="A56" s="219"/>
      <c r="B56" s="220"/>
      <c r="C56" s="220"/>
      <c r="D56" s="220"/>
      <c r="E56" s="221"/>
      <c r="F56" s="222"/>
      <c r="G56" s="222"/>
      <c r="H56" s="222"/>
      <c r="I56" s="222"/>
      <c r="J56" s="222"/>
      <c r="K56" s="222"/>
      <c r="L56" s="222"/>
      <c r="M56" s="223"/>
      <c r="N56" s="219"/>
    </row>
    <row r="57" spans="1:14" s="53" customFormat="1" ht="12.75" x14ac:dyDescent="0.2">
      <c r="B57" s="118"/>
      <c r="C57" s="118"/>
      <c r="D57" s="118"/>
      <c r="E57" s="66"/>
      <c r="F57" s="117"/>
      <c r="G57" s="117"/>
      <c r="H57" s="117"/>
      <c r="I57" s="117"/>
      <c r="J57" s="117"/>
      <c r="K57" s="117"/>
      <c r="L57" s="117"/>
      <c r="M57" s="213"/>
      <c r="N57" s="8" t="s">
        <v>101</v>
      </c>
    </row>
    <row r="58" spans="1:14" s="53" customFormat="1" ht="12.75" x14ac:dyDescent="0.2">
      <c r="B58" s="118"/>
      <c r="C58" s="118"/>
      <c r="D58" s="118"/>
      <c r="E58" s="66"/>
      <c r="F58" s="117"/>
      <c r="G58" s="117"/>
      <c r="H58" s="117"/>
      <c r="I58" s="117"/>
      <c r="J58" s="117"/>
      <c r="K58" s="117"/>
      <c r="L58" s="117"/>
      <c r="M58" s="213"/>
      <c r="N58" s="41" t="s">
        <v>1</v>
      </c>
    </row>
    <row r="59" spans="1:14" s="53" customFormat="1" ht="12.75" x14ac:dyDescent="0.2">
      <c r="B59" s="118"/>
      <c r="C59" s="118"/>
      <c r="D59" s="118"/>
      <c r="E59" s="66"/>
      <c r="F59" s="117"/>
      <c r="G59" s="117"/>
      <c r="H59" s="117"/>
      <c r="I59" s="117"/>
      <c r="J59" s="117"/>
      <c r="K59" s="117"/>
      <c r="L59" s="117"/>
      <c r="M59" s="213"/>
    </row>
    <row r="60" spans="1:14" s="53" customFormat="1" ht="12.75" x14ac:dyDescent="0.2">
      <c r="B60" s="118"/>
      <c r="C60" s="118"/>
      <c r="D60" s="118"/>
      <c r="E60" s="66"/>
      <c r="F60" s="117"/>
      <c r="G60" s="117"/>
      <c r="H60" s="117"/>
      <c r="I60" s="117"/>
      <c r="J60" s="117"/>
      <c r="K60" s="117"/>
      <c r="L60" s="117"/>
      <c r="M60" s="213"/>
    </row>
    <row r="61" spans="1:14" s="53" customFormat="1" ht="12.75" x14ac:dyDescent="0.2">
      <c r="B61" s="118"/>
      <c r="C61" s="118"/>
      <c r="D61" s="118"/>
      <c r="E61" s="66"/>
      <c r="F61" s="117"/>
      <c r="G61" s="117"/>
      <c r="H61" s="117"/>
      <c r="I61" s="117"/>
      <c r="J61" s="117"/>
      <c r="K61" s="117"/>
      <c r="L61" s="117"/>
      <c r="M61" s="213"/>
    </row>
    <row r="62" spans="1:14" s="53" customFormat="1" ht="12.75" x14ac:dyDescent="0.2">
      <c r="B62" s="118"/>
      <c r="C62" s="118"/>
      <c r="D62" s="118"/>
      <c r="E62" s="66"/>
      <c r="F62" s="117"/>
      <c r="G62" s="117"/>
      <c r="H62" s="117"/>
      <c r="I62" s="117"/>
      <c r="J62" s="117"/>
      <c r="K62" s="117"/>
      <c r="L62" s="117"/>
      <c r="M62" s="213"/>
    </row>
    <row r="63" spans="1:14" s="53" customFormat="1" ht="12.75" x14ac:dyDescent="0.2">
      <c r="B63" s="118"/>
      <c r="C63" s="118"/>
      <c r="D63" s="118"/>
      <c r="E63" s="66"/>
      <c r="F63" s="117"/>
      <c r="G63" s="117"/>
      <c r="H63" s="117"/>
      <c r="I63" s="117"/>
      <c r="J63" s="117"/>
      <c r="K63" s="117"/>
      <c r="L63" s="117"/>
      <c r="M63" s="213"/>
    </row>
    <row r="64" spans="1:14" s="53" customFormat="1" ht="12.75" x14ac:dyDescent="0.2">
      <c r="B64" s="118"/>
      <c r="C64" s="118"/>
      <c r="D64" s="118"/>
      <c r="E64" s="66"/>
      <c r="F64" s="117"/>
      <c r="G64" s="117"/>
      <c r="H64" s="117"/>
      <c r="I64" s="117"/>
      <c r="J64" s="117"/>
      <c r="K64" s="117"/>
      <c r="L64" s="117"/>
      <c r="M64" s="213"/>
    </row>
    <row r="65" spans="2:13" s="53" customFormat="1" ht="12.75" x14ac:dyDescent="0.2">
      <c r="B65" s="118"/>
      <c r="C65" s="118"/>
      <c r="D65" s="118"/>
      <c r="E65" s="66"/>
      <c r="F65" s="117"/>
      <c r="G65" s="117"/>
      <c r="H65" s="117"/>
      <c r="I65" s="117"/>
      <c r="J65" s="117"/>
      <c r="K65" s="117"/>
      <c r="L65" s="117"/>
      <c r="M65" s="213"/>
    </row>
    <row r="66" spans="2:13" s="53" customFormat="1" ht="12.75" x14ac:dyDescent="0.2">
      <c r="B66" s="118"/>
      <c r="C66" s="118"/>
      <c r="D66" s="118"/>
      <c r="E66" s="66"/>
      <c r="F66" s="117"/>
      <c r="G66" s="117"/>
      <c r="H66" s="117"/>
      <c r="I66" s="117"/>
      <c r="J66" s="117"/>
      <c r="K66" s="117"/>
      <c r="L66" s="117"/>
      <c r="M66" s="213"/>
    </row>
    <row r="67" spans="2:13" s="53" customFormat="1" ht="12.75" x14ac:dyDescent="0.2">
      <c r="B67" s="118"/>
      <c r="C67" s="118"/>
      <c r="D67" s="118"/>
      <c r="E67" s="66"/>
      <c r="F67" s="117"/>
      <c r="G67" s="117"/>
      <c r="H67" s="117"/>
      <c r="I67" s="117"/>
      <c r="J67" s="117"/>
      <c r="K67" s="117"/>
      <c r="L67" s="117"/>
      <c r="M67" s="213"/>
    </row>
    <row r="68" spans="2:13" s="53" customFormat="1" ht="12.75" x14ac:dyDescent="0.2">
      <c r="B68" s="118"/>
      <c r="C68" s="118"/>
      <c r="D68" s="118"/>
      <c r="E68" s="66"/>
      <c r="F68" s="117"/>
      <c r="G68" s="117"/>
      <c r="H68" s="117"/>
      <c r="I68" s="117"/>
      <c r="J68" s="117"/>
      <c r="K68" s="117"/>
      <c r="L68" s="117"/>
      <c r="M68" s="213"/>
    </row>
    <row r="69" spans="2:13" s="53" customFormat="1" ht="12.75" x14ac:dyDescent="0.2">
      <c r="B69" s="118"/>
      <c r="C69" s="118"/>
      <c r="D69" s="118"/>
      <c r="E69" s="66"/>
      <c r="F69" s="117"/>
      <c r="G69" s="117"/>
      <c r="H69" s="117"/>
      <c r="I69" s="117"/>
      <c r="J69" s="117"/>
      <c r="K69" s="117"/>
      <c r="L69" s="117"/>
      <c r="M69" s="213"/>
    </row>
    <row r="70" spans="2:13" s="53" customFormat="1" ht="12.75" x14ac:dyDescent="0.2">
      <c r="B70" s="118"/>
      <c r="C70" s="118"/>
      <c r="D70" s="118"/>
      <c r="E70" s="66"/>
      <c r="F70" s="117"/>
      <c r="G70" s="117"/>
      <c r="H70" s="117"/>
      <c r="I70" s="117"/>
      <c r="J70" s="117"/>
      <c r="K70" s="117"/>
      <c r="L70" s="117"/>
      <c r="M70" s="213"/>
    </row>
    <row r="71" spans="2:13" s="53" customFormat="1" ht="12.75" x14ac:dyDescent="0.2">
      <c r="B71" s="118"/>
      <c r="C71" s="118"/>
      <c r="D71" s="118"/>
      <c r="E71" s="66"/>
      <c r="F71" s="117"/>
      <c r="G71" s="117"/>
      <c r="H71" s="117"/>
      <c r="I71" s="117"/>
      <c r="J71" s="117"/>
      <c r="K71" s="117"/>
      <c r="L71" s="117"/>
      <c r="M71" s="213"/>
    </row>
    <row r="72" spans="2:13" s="53" customFormat="1" ht="12.75" x14ac:dyDescent="0.2">
      <c r="B72" s="118"/>
      <c r="C72" s="118"/>
      <c r="D72" s="118"/>
      <c r="E72" s="66"/>
      <c r="F72" s="117"/>
      <c r="G72" s="117"/>
      <c r="H72" s="117"/>
      <c r="I72" s="117"/>
      <c r="J72" s="117"/>
      <c r="K72" s="117"/>
      <c r="L72" s="117"/>
      <c r="M72" s="213"/>
    </row>
    <row r="73" spans="2:13" s="53" customFormat="1" ht="12.75" x14ac:dyDescent="0.2">
      <c r="B73" s="118"/>
      <c r="C73" s="118"/>
      <c r="D73" s="118"/>
      <c r="E73" s="66"/>
      <c r="F73" s="117"/>
      <c r="G73" s="117"/>
      <c r="H73" s="117"/>
      <c r="I73" s="117"/>
      <c r="J73" s="117"/>
      <c r="K73" s="117"/>
      <c r="L73" s="117"/>
      <c r="M73" s="213"/>
    </row>
    <row r="74" spans="2:13" s="53" customFormat="1" ht="12.75" x14ac:dyDescent="0.2">
      <c r="B74" s="118"/>
      <c r="C74" s="118"/>
      <c r="D74" s="118"/>
      <c r="E74" s="66"/>
      <c r="F74" s="117"/>
      <c r="G74" s="117"/>
      <c r="H74" s="117"/>
      <c r="I74" s="117"/>
      <c r="J74" s="117"/>
      <c r="K74" s="117"/>
      <c r="L74" s="117"/>
      <c r="M74" s="213"/>
    </row>
    <row r="75" spans="2:13" s="53" customFormat="1" ht="12.75" x14ac:dyDescent="0.2">
      <c r="B75" s="118"/>
      <c r="C75" s="118"/>
      <c r="D75" s="118"/>
      <c r="E75" s="66"/>
      <c r="F75" s="117"/>
      <c r="G75" s="117"/>
      <c r="H75" s="117"/>
      <c r="I75" s="117"/>
      <c r="J75" s="117"/>
      <c r="K75" s="117"/>
      <c r="L75" s="117"/>
      <c r="M75" s="213"/>
    </row>
    <row r="76" spans="2:13" s="53" customFormat="1" ht="12.75" x14ac:dyDescent="0.2">
      <c r="B76" s="118"/>
      <c r="C76" s="118"/>
      <c r="D76" s="118"/>
      <c r="E76" s="66"/>
      <c r="F76" s="117"/>
      <c r="G76" s="117"/>
      <c r="H76" s="117"/>
      <c r="I76" s="117"/>
      <c r="J76" s="117"/>
      <c r="K76" s="117"/>
      <c r="L76" s="117"/>
      <c r="M76" s="213"/>
    </row>
    <row r="77" spans="2:13" s="53" customFormat="1" ht="12.75" x14ac:dyDescent="0.2">
      <c r="B77" s="118"/>
      <c r="C77" s="118"/>
      <c r="D77" s="118"/>
      <c r="E77" s="66"/>
      <c r="F77" s="117"/>
      <c r="G77" s="117"/>
      <c r="H77" s="117"/>
      <c r="I77" s="117"/>
      <c r="J77" s="117"/>
      <c r="K77" s="117"/>
      <c r="L77" s="117"/>
      <c r="M77" s="213"/>
    </row>
    <row r="78" spans="2:13" s="53" customFormat="1" ht="12.75" x14ac:dyDescent="0.2">
      <c r="B78" s="118"/>
      <c r="C78" s="118"/>
      <c r="D78" s="118"/>
      <c r="E78" s="66"/>
      <c r="F78" s="117"/>
      <c r="G78" s="117"/>
      <c r="H78" s="117"/>
      <c r="I78" s="117"/>
      <c r="J78" s="117"/>
      <c r="K78" s="117"/>
      <c r="L78" s="117"/>
      <c r="M78" s="213"/>
    </row>
    <row r="79" spans="2:13" s="53" customFormat="1" ht="12.75" x14ac:dyDescent="0.2">
      <c r="B79" s="118"/>
      <c r="C79" s="118"/>
      <c r="D79" s="118"/>
      <c r="E79" s="66"/>
      <c r="F79" s="117"/>
      <c r="G79" s="117"/>
      <c r="H79" s="117"/>
      <c r="I79" s="117"/>
      <c r="J79" s="117"/>
      <c r="K79" s="117"/>
      <c r="L79" s="117"/>
      <c r="M79" s="213"/>
    </row>
    <row r="80" spans="2:13" s="53" customFormat="1" ht="12.75" x14ac:dyDescent="0.2">
      <c r="B80" s="118"/>
      <c r="C80" s="118"/>
      <c r="D80" s="118"/>
      <c r="E80" s="66"/>
      <c r="F80" s="117"/>
      <c r="G80" s="117"/>
      <c r="H80" s="117"/>
      <c r="I80" s="117"/>
      <c r="J80" s="117"/>
      <c r="K80" s="117"/>
      <c r="L80" s="117"/>
      <c r="M80" s="213"/>
    </row>
    <row r="81" spans="2:13" s="53" customFormat="1" ht="12.75" x14ac:dyDescent="0.2">
      <c r="B81" s="118"/>
      <c r="C81" s="118"/>
      <c r="D81" s="118"/>
      <c r="E81" s="66"/>
      <c r="F81" s="117"/>
      <c r="G81" s="117"/>
      <c r="H81" s="117"/>
      <c r="I81" s="117"/>
      <c r="J81" s="117"/>
      <c r="K81" s="117"/>
      <c r="L81" s="117"/>
      <c r="M81" s="213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tabSelected="1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0.85546875" style="3" customWidth="1"/>
    <col min="3" max="3" width="12.28515625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74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172"/>
    </row>
    <row r="4" spans="1:8" s="30" customFormat="1" ht="12" customHeight="1" x14ac:dyDescent="0.25">
      <c r="B4" s="27"/>
      <c r="C4" s="27"/>
      <c r="D4" s="27"/>
      <c r="E4" s="28"/>
      <c r="F4" s="29"/>
      <c r="G4" s="172"/>
    </row>
    <row r="5" spans="1:8" s="53" customFormat="1" ht="15" customHeight="1" x14ac:dyDescent="0.2">
      <c r="B5" s="66" t="s">
        <v>190</v>
      </c>
      <c r="C5" s="67" t="s">
        <v>219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227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61" t="s">
        <v>96</v>
      </c>
      <c r="H8" s="347"/>
    </row>
    <row r="9" spans="1:8" s="53" customFormat="1" ht="33" customHeight="1" x14ac:dyDescent="0.2">
      <c r="A9" s="348"/>
      <c r="B9" s="464"/>
      <c r="C9" s="464"/>
      <c r="D9" s="458"/>
      <c r="E9" s="458"/>
      <c r="F9" s="460"/>
      <c r="G9" s="462"/>
      <c r="H9" s="344"/>
    </row>
    <row r="10" spans="1:8" s="6" customFormat="1" ht="6" customHeight="1" x14ac:dyDescent="0.25">
      <c r="B10" s="13"/>
      <c r="C10" s="13"/>
      <c r="D10" s="13"/>
      <c r="E10" s="9"/>
      <c r="F10" s="9"/>
      <c r="G10" s="9"/>
    </row>
    <row r="11" spans="1:8" s="24" customFormat="1" ht="12.95" customHeight="1" x14ac:dyDescent="0.25">
      <c r="B11" s="62" t="s">
        <v>97</v>
      </c>
      <c r="C11" s="62"/>
      <c r="D11" s="306">
        <v>2016</v>
      </c>
      <c r="E11" s="143">
        <f>SUM(E15,E19,E23,E27,E31,E35,E39,E43,E47,E51,E55,E59,E63,E67)</f>
        <v>12941</v>
      </c>
      <c r="F11" s="143">
        <f>SUM(F15,F19,F23,F27,F31,F35,F39,F43,F47,F51,F55,F59,F63,F67)</f>
        <v>2820</v>
      </c>
      <c r="G11" s="143">
        <f>SUM(G15,G19,G23,G27,G31,G35,G39,G43,G47,G51,G55,G59,G63,G67)</f>
        <v>10121</v>
      </c>
    </row>
    <row r="12" spans="1:8" s="24" customFormat="1" ht="12.95" customHeight="1" x14ac:dyDescent="0.25">
      <c r="B12" s="64"/>
      <c r="C12" s="62"/>
      <c r="D12" s="306">
        <v>2017</v>
      </c>
      <c r="E12" s="143">
        <f t="shared" ref="E12" si="0">SUM(E16,E20,E24,E28,E32,E36,E40,E44,E48,E52,E56,E60,E64,E68)</f>
        <v>11307</v>
      </c>
      <c r="F12" s="143">
        <f t="shared" ref="F12:G13" si="1">SUM(F16,F20,F24,F28,F32,F36,F40,F44,F48,F52,F56,F60,F64,F68)</f>
        <v>2578</v>
      </c>
      <c r="G12" s="143">
        <f t="shared" si="1"/>
        <v>8729</v>
      </c>
    </row>
    <row r="13" spans="1:8" s="24" customFormat="1" ht="12.95" customHeight="1" x14ac:dyDescent="0.25">
      <c r="B13" s="62"/>
      <c r="C13" s="64"/>
      <c r="D13" s="306">
        <v>2018</v>
      </c>
      <c r="E13" s="143">
        <f t="shared" ref="E13" si="2">SUM(E17,E21,E25,E29,E33,E37,E41,E45,E49,E53,E57,E61,E65,E69)</f>
        <v>10338</v>
      </c>
      <c r="F13" s="143">
        <f t="shared" si="1"/>
        <v>1880</v>
      </c>
      <c r="G13" s="143">
        <f t="shared" si="1"/>
        <v>8458</v>
      </c>
    </row>
    <row r="14" spans="1:8" s="24" customFormat="1" ht="6" customHeight="1" x14ac:dyDescent="0.25">
      <c r="B14" s="62"/>
      <c r="C14" s="64"/>
      <c r="D14" s="306"/>
      <c r="E14" s="56"/>
      <c r="F14" s="56"/>
      <c r="G14" s="56"/>
    </row>
    <row r="15" spans="1:8" s="7" customFormat="1" ht="12.95" customHeight="1" x14ac:dyDescent="0.2">
      <c r="B15" s="57" t="s">
        <v>2</v>
      </c>
      <c r="C15" s="57"/>
      <c r="D15" s="307">
        <v>2016</v>
      </c>
      <c r="E15" s="165">
        <f>SUM(F15:G15)</f>
        <v>781</v>
      </c>
      <c r="F15" s="167">
        <v>160</v>
      </c>
      <c r="G15" s="165">
        <v>621</v>
      </c>
    </row>
    <row r="16" spans="1:8" s="7" customFormat="1" ht="12.95" customHeight="1" x14ac:dyDescent="0.2">
      <c r="B16" s="58"/>
      <c r="C16" s="57"/>
      <c r="D16" s="307">
        <v>2017</v>
      </c>
      <c r="E16" s="165">
        <f t="shared" ref="E16:E17" si="3">SUM(F16:G16)</f>
        <v>681</v>
      </c>
      <c r="F16" s="167">
        <v>123</v>
      </c>
      <c r="G16" s="167">
        <v>558</v>
      </c>
    </row>
    <row r="17" spans="2:11" s="7" customFormat="1" ht="12.95" customHeight="1" x14ac:dyDescent="0.2">
      <c r="B17" s="57"/>
      <c r="C17" s="58"/>
      <c r="D17" s="307">
        <v>2018</v>
      </c>
      <c r="E17" s="165">
        <f t="shared" si="3"/>
        <v>688</v>
      </c>
      <c r="F17" s="167">
        <v>104</v>
      </c>
      <c r="G17" s="165">
        <v>584</v>
      </c>
    </row>
    <row r="18" spans="2:11" s="7" customFormat="1" ht="6" customHeight="1" x14ac:dyDescent="0.2">
      <c r="B18" s="57"/>
      <c r="C18" s="58"/>
      <c r="D18" s="307"/>
      <c r="E18" s="167"/>
      <c r="F18" s="167"/>
      <c r="G18" s="167"/>
    </row>
    <row r="19" spans="2:11" ht="12.95" customHeight="1" x14ac:dyDescent="0.2">
      <c r="B19" s="57" t="s">
        <v>52</v>
      </c>
      <c r="C19" s="58"/>
      <c r="D19" s="307">
        <v>2016</v>
      </c>
      <c r="E19" s="165" t="s">
        <v>51</v>
      </c>
      <c r="F19" s="165" t="s">
        <v>51</v>
      </c>
      <c r="G19" s="165" t="s">
        <v>51</v>
      </c>
    </row>
    <row r="20" spans="2:11" ht="12.95" customHeight="1" x14ac:dyDescent="0.2">
      <c r="B20" s="57"/>
      <c r="C20" s="58"/>
      <c r="D20" s="307">
        <v>2017</v>
      </c>
      <c r="E20" s="165">
        <f>SUM(F20:G20)</f>
        <v>922</v>
      </c>
      <c r="F20" s="167">
        <v>195</v>
      </c>
      <c r="G20" s="165">
        <v>727</v>
      </c>
    </row>
    <row r="21" spans="2:11" ht="12.95" customHeight="1" x14ac:dyDescent="0.2">
      <c r="B21" s="57"/>
      <c r="C21" s="58"/>
      <c r="D21" s="307">
        <v>2018</v>
      </c>
      <c r="E21" s="165">
        <f>SUM(F21:G21)</f>
        <v>933</v>
      </c>
      <c r="F21" s="167">
        <v>149</v>
      </c>
      <c r="G21" s="165">
        <v>784</v>
      </c>
    </row>
    <row r="22" spans="2:11" ht="6" customHeight="1" x14ac:dyDescent="0.2">
      <c r="B22" s="57"/>
      <c r="C22" s="58"/>
      <c r="D22" s="307"/>
      <c r="E22" s="167"/>
      <c r="F22" s="165"/>
      <c r="G22" s="142"/>
    </row>
    <row r="23" spans="2:11" ht="12.95" customHeight="1" x14ac:dyDescent="0.2">
      <c r="B23" s="58" t="s">
        <v>53</v>
      </c>
      <c r="C23" s="58"/>
      <c r="D23" s="307">
        <v>2016</v>
      </c>
      <c r="E23" s="167">
        <f>SUM(F23:G23)</f>
        <v>3779</v>
      </c>
      <c r="F23" s="167">
        <v>977</v>
      </c>
      <c r="G23" s="167">
        <v>2802</v>
      </c>
    </row>
    <row r="24" spans="2:11" ht="12.95" customHeight="1" x14ac:dyDescent="0.2">
      <c r="B24" s="58"/>
      <c r="C24" s="58"/>
      <c r="D24" s="307">
        <v>2017</v>
      </c>
      <c r="E24" s="167">
        <f>SUM(F24:G24)</f>
        <v>3231</v>
      </c>
      <c r="F24" s="167">
        <v>956</v>
      </c>
      <c r="G24" s="167">
        <v>2275</v>
      </c>
    </row>
    <row r="25" spans="2:11" ht="12.95" customHeight="1" x14ac:dyDescent="0.2">
      <c r="B25" s="58"/>
      <c r="C25" s="58"/>
      <c r="D25" s="307">
        <v>2018</v>
      </c>
      <c r="E25" s="167">
        <f>SUM(F25:G25)</f>
        <v>2516</v>
      </c>
      <c r="F25" s="167">
        <v>474</v>
      </c>
      <c r="G25" s="167">
        <v>2042</v>
      </c>
    </row>
    <row r="26" spans="2:11" ht="6" customHeight="1" x14ac:dyDescent="0.2">
      <c r="B26" s="58"/>
      <c r="C26" s="58"/>
      <c r="D26" s="307"/>
      <c r="E26" s="167"/>
      <c r="F26" s="167"/>
      <c r="G26" s="167"/>
    </row>
    <row r="27" spans="2:11" ht="12.95" customHeight="1" x14ac:dyDescent="0.2">
      <c r="B27" s="58" t="s">
        <v>54</v>
      </c>
      <c r="C27" s="58"/>
      <c r="D27" s="307">
        <v>2016</v>
      </c>
      <c r="E27" s="167">
        <f>SUM(F27:G27)</f>
        <v>2156</v>
      </c>
      <c r="F27" s="167">
        <v>528</v>
      </c>
      <c r="G27" s="167">
        <v>1628</v>
      </c>
    </row>
    <row r="28" spans="2:11" ht="12.95" customHeight="1" x14ac:dyDescent="0.2">
      <c r="B28" s="58"/>
      <c r="C28" s="58"/>
      <c r="D28" s="307">
        <v>2017</v>
      </c>
      <c r="E28" s="167">
        <f>SUM(F28:G28)</f>
        <v>1649</v>
      </c>
      <c r="F28" s="167">
        <v>412</v>
      </c>
      <c r="G28" s="167">
        <v>1237</v>
      </c>
    </row>
    <row r="29" spans="2:11" s="3" customFormat="1" ht="12.95" customHeight="1" x14ac:dyDescent="0.2">
      <c r="B29" s="58"/>
      <c r="C29" s="58"/>
      <c r="D29" s="307">
        <v>2018</v>
      </c>
      <c r="E29" s="167">
        <f>SUM(F29:G29)</f>
        <v>1649</v>
      </c>
      <c r="F29" s="167">
        <v>343</v>
      </c>
      <c r="G29" s="167">
        <v>1306</v>
      </c>
      <c r="H29" s="2"/>
      <c r="I29" s="2"/>
      <c r="J29" s="2"/>
      <c r="K29" s="2"/>
    </row>
    <row r="30" spans="2:11" s="3" customFormat="1" ht="6" customHeight="1" x14ac:dyDescent="0.2">
      <c r="B30" s="58"/>
      <c r="C30" s="58"/>
      <c r="D30" s="307"/>
      <c r="E30" s="167"/>
      <c r="F30" s="165"/>
      <c r="G30" s="167"/>
      <c r="H30" s="2"/>
      <c r="I30" s="2"/>
      <c r="J30" s="2"/>
      <c r="K30" s="2"/>
    </row>
    <row r="31" spans="2:11" ht="12.95" customHeight="1" x14ac:dyDescent="0.2">
      <c r="B31" s="58" t="s">
        <v>3</v>
      </c>
      <c r="C31" s="58"/>
      <c r="D31" s="307">
        <v>2016</v>
      </c>
      <c r="E31" s="167">
        <f>SUM(F31:G31)</f>
        <v>682</v>
      </c>
      <c r="F31" s="167">
        <v>156</v>
      </c>
      <c r="G31" s="167">
        <v>526</v>
      </c>
    </row>
    <row r="32" spans="2:11" ht="12.95" customHeight="1" x14ac:dyDescent="0.2">
      <c r="B32" s="58"/>
      <c r="C32" s="57"/>
      <c r="D32" s="307">
        <v>2017</v>
      </c>
      <c r="E32" s="167">
        <f>SUM(F32:G32)</f>
        <v>652</v>
      </c>
      <c r="F32" s="167">
        <v>117</v>
      </c>
      <c r="G32" s="167">
        <v>535</v>
      </c>
    </row>
    <row r="33" spans="2:7" ht="12.95" customHeight="1" x14ac:dyDescent="0.2">
      <c r="B33" s="58"/>
      <c r="C33" s="57"/>
      <c r="D33" s="307">
        <v>2018</v>
      </c>
      <c r="E33" s="167">
        <f>SUM(F33:G33)</f>
        <v>602</v>
      </c>
      <c r="F33" s="167">
        <v>125</v>
      </c>
      <c r="G33" s="167">
        <v>477</v>
      </c>
    </row>
    <row r="34" spans="2:7" ht="6" customHeight="1" x14ac:dyDescent="0.2">
      <c r="B34" s="58"/>
      <c r="C34" s="57"/>
      <c r="D34" s="307"/>
      <c r="E34" s="165"/>
      <c r="F34" s="167"/>
      <c r="G34" s="165"/>
    </row>
    <row r="35" spans="2:7" ht="12.95" customHeight="1" x14ac:dyDescent="0.2">
      <c r="B35" s="58" t="s">
        <v>4</v>
      </c>
      <c r="C35" s="58"/>
      <c r="D35" s="307">
        <v>2016</v>
      </c>
      <c r="E35" s="167">
        <f>SUM(F35:G35)</f>
        <v>565</v>
      </c>
      <c r="F35" s="167">
        <v>109</v>
      </c>
      <c r="G35" s="167">
        <v>456</v>
      </c>
    </row>
    <row r="36" spans="2:7" ht="12.95" customHeight="1" x14ac:dyDescent="0.2">
      <c r="B36" s="58"/>
      <c r="C36" s="58"/>
      <c r="D36" s="307">
        <v>2017</v>
      </c>
      <c r="E36" s="167">
        <f>SUM(F36:G36)</f>
        <v>583</v>
      </c>
      <c r="F36" s="167">
        <v>89</v>
      </c>
      <c r="G36" s="167">
        <v>494</v>
      </c>
    </row>
    <row r="37" spans="2:7" ht="12.95" customHeight="1" x14ac:dyDescent="0.2">
      <c r="B37" s="58"/>
      <c r="C37" s="58"/>
      <c r="D37" s="307">
        <v>2018</v>
      </c>
      <c r="E37" s="167">
        <f>SUM(F37:G37)</f>
        <v>542</v>
      </c>
      <c r="F37" s="167">
        <v>67</v>
      </c>
      <c r="G37" s="167">
        <v>475</v>
      </c>
    </row>
    <row r="38" spans="2:7" ht="6" customHeight="1" x14ac:dyDescent="0.2">
      <c r="B38" s="58"/>
      <c r="C38" s="58"/>
      <c r="D38" s="307"/>
      <c r="E38" s="167"/>
      <c r="F38" s="165"/>
      <c r="G38" s="167"/>
    </row>
    <row r="39" spans="2:7" ht="12.95" customHeight="1" x14ac:dyDescent="0.2">
      <c r="B39" s="58" t="s">
        <v>9</v>
      </c>
      <c r="C39" s="58"/>
      <c r="D39" s="307">
        <v>2016</v>
      </c>
      <c r="E39" s="167">
        <f>SUM(F39:G39)</f>
        <v>773</v>
      </c>
      <c r="F39" s="167">
        <v>156</v>
      </c>
      <c r="G39" s="142">
        <v>617</v>
      </c>
    </row>
    <row r="40" spans="2:7" ht="12.95" customHeight="1" x14ac:dyDescent="0.2">
      <c r="B40" s="58"/>
      <c r="C40" s="58"/>
      <c r="D40" s="307">
        <v>2017</v>
      </c>
      <c r="E40" s="167">
        <f>SUM(F40:G40)</f>
        <v>772</v>
      </c>
      <c r="F40" s="167">
        <v>209</v>
      </c>
      <c r="G40" s="142">
        <v>563</v>
      </c>
    </row>
    <row r="41" spans="2:7" ht="12.95" customHeight="1" x14ac:dyDescent="0.2">
      <c r="B41" s="58"/>
      <c r="C41" s="58"/>
      <c r="D41" s="307">
        <v>2018</v>
      </c>
      <c r="E41" s="167">
        <f>SUM(F41:G41)</f>
        <v>749</v>
      </c>
      <c r="F41" s="167">
        <v>202</v>
      </c>
      <c r="G41" s="142">
        <v>547</v>
      </c>
    </row>
    <row r="42" spans="2:7" ht="6" customHeight="1" x14ac:dyDescent="0.2">
      <c r="B42" s="58"/>
      <c r="C42" s="58"/>
      <c r="D42" s="307"/>
      <c r="E42" s="167"/>
      <c r="F42" s="167"/>
      <c r="G42" s="167"/>
    </row>
    <row r="43" spans="2:7" ht="12.95" customHeight="1" x14ac:dyDescent="0.2">
      <c r="B43" s="58" t="s">
        <v>10</v>
      </c>
      <c r="C43" s="58"/>
      <c r="D43" s="307">
        <v>2016</v>
      </c>
      <c r="E43" s="167">
        <f>SUM(F43:G43)</f>
        <v>270</v>
      </c>
      <c r="F43" s="167">
        <v>50</v>
      </c>
      <c r="G43" s="167">
        <v>220</v>
      </c>
    </row>
    <row r="44" spans="2:7" ht="12.95" customHeight="1" x14ac:dyDescent="0.2">
      <c r="B44" s="58"/>
      <c r="C44" s="58"/>
      <c r="D44" s="307">
        <v>2017</v>
      </c>
      <c r="E44" s="167">
        <f>SUM(F44:G44)</f>
        <v>234</v>
      </c>
      <c r="F44" s="167">
        <v>44</v>
      </c>
      <c r="G44" s="167">
        <v>190</v>
      </c>
    </row>
    <row r="45" spans="2:7" ht="12.95" customHeight="1" x14ac:dyDescent="0.2">
      <c r="B45" s="58"/>
      <c r="C45" s="58"/>
      <c r="D45" s="307">
        <v>2018</v>
      </c>
      <c r="E45" s="167">
        <f>SUM(F45:G45)</f>
        <v>207</v>
      </c>
      <c r="F45" s="167">
        <v>33</v>
      </c>
      <c r="G45" s="167">
        <v>174</v>
      </c>
    </row>
    <row r="46" spans="2:7" ht="6" customHeight="1" x14ac:dyDescent="0.2">
      <c r="B46" s="58"/>
      <c r="C46" s="58"/>
      <c r="D46" s="307"/>
      <c r="E46" s="167"/>
      <c r="F46" s="165"/>
      <c r="G46" s="167"/>
    </row>
    <row r="47" spans="2:7" ht="12.95" customHeight="1" x14ac:dyDescent="0.2">
      <c r="B47" s="58" t="s">
        <v>5</v>
      </c>
      <c r="C47" s="58"/>
      <c r="D47" s="307">
        <v>2016</v>
      </c>
      <c r="E47" s="167">
        <f>SUM(F47:G47)</f>
        <v>154</v>
      </c>
      <c r="F47" s="167">
        <v>42</v>
      </c>
      <c r="G47" s="167">
        <v>112</v>
      </c>
    </row>
    <row r="48" spans="2:7" ht="12.95" customHeight="1" x14ac:dyDescent="0.2">
      <c r="B48" s="58"/>
      <c r="C48" s="58"/>
      <c r="D48" s="307">
        <v>2017</v>
      </c>
      <c r="E48" s="167">
        <f>SUM(F48:G48)</f>
        <v>151</v>
      </c>
      <c r="F48" s="167">
        <v>31</v>
      </c>
      <c r="G48" s="167">
        <v>120</v>
      </c>
    </row>
    <row r="49" spans="1:7" ht="12.95" customHeight="1" x14ac:dyDescent="0.2">
      <c r="B49" s="58"/>
      <c r="C49" s="58"/>
      <c r="D49" s="307">
        <v>2018</v>
      </c>
      <c r="E49" s="167">
        <f>SUM(F49:G49)</f>
        <v>129</v>
      </c>
      <c r="F49" s="167">
        <v>29</v>
      </c>
      <c r="G49" s="167">
        <v>100</v>
      </c>
    </row>
    <row r="50" spans="1:7" ht="6" customHeight="1" x14ac:dyDescent="0.2">
      <c r="B50" s="58"/>
      <c r="C50" s="58"/>
      <c r="D50" s="307"/>
      <c r="E50" s="167"/>
      <c r="F50" s="167"/>
      <c r="G50" s="167"/>
    </row>
    <row r="51" spans="1:7" s="7" customFormat="1" ht="12.95" customHeight="1" x14ac:dyDescent="0.2">
      <c r="B51" s="58" t="s">
        <v>6</v>
      </c>
      <c r="C51" s="58"/>
      <c r="D51" s="307">
        <v>2016</v>
      </c>
      <c r="E51" s="167">
        <f>SUM(F51:G51)</f>
        <v>354</v>
      </c>
      <c r="F51" s="167">
        <v>56</v>
      </c>
      <c r="G51" s="167">
        <v>298</v>
      </c>
    </row>
    <row r="52" spans="1:7" s="7" customFormat="1" ht="12.95" customHeight="1" x14ac:dyDescent="0.2">
      <c r="B52" s="58"/>
      <c r="C52" s="58"/>
      <c r="D52" s="307">
        <v>2017</v>
      </c>
      <c r="E52" s="167">
        <f>SUM(F52:G52)</f>
        <v>298</v>
      </c>
      <c r="F52" s="167">
        <v>64</v>
      </c>
      <c r="G52" s="167">
        <v>234</v>
      </c>
    </row>
    <row r="53" spans="1:7" s="7" customFormat="1" ht="12.95" customHeight="1" x14ac:dyDescent="0.2">
      <c r="B53" s="58"/>
      <c r="C53" s="58"/>
      <c r="D53" s="307">
        <v>2018</v>
      </c>
      <c r="E53" s="167">
        <f>SUM(F53:G53)</f>
        <v>296</v>
      </c>
      <c r="F53" s="167">
        <v>49</v>
      </c>
      <c r="G53" s="167">
        <v>247</v>
      </c>
    </row>
    <row r="54" spans="1:7" s="7" customFormat="1" ht="6" customHeight="1" x14ac:dyDescent="0.2">
      <c r="B54" s="58"/>
      <c r="C54" s="58"/>
      <c r="D54" s="307"/>
      <c r="E54" s="167"/>
      <c r="F54" s="165"/>
      <c r="G54" s="167"/>
    </row>
    <row r="55" spans="1:7" s="7" customFormat="1" ht="12.95" customHeight="1" x14ac:dyDescent="0.2">
      <c r="B55" s="58" t="s">
        <v>55</v>
      </c>
      <c r="C55" s="58"/>
      <c r="D55" s="307">
        <v>2016</v>
      </c>
      <c r="E55" s="167">
        <f>SUM(F55:G55)</f>
        <v>981</v>
      </c>
      <c r="F55" s="167">
        <v>193</v>
      </c>
      <c r="G55" s="167">
        <v>788</v>
      </c>
    </row>
    <row r="56" spans="1:7" s="7" customFormat="1" ht="12.95" customHeight="1" x14ac:dyDescent="0.2">
      <c r="B56" s="58"/>
      <c r="C56" s="58"/>
      <c r="D56" s="307">
        <v>2017</v>
      </c>
      <c r="E56" s="167">
        <f>SUM(F56:G56)</f>
        <v>4</v>
      </c>
      <c r="F56" s="167">
        <v>1</v>
      </c>
      <c r="G56" s="167">
        <v>3</v>
      </c>
    </row>
    <row r="57" spans="1:7" s="7" customFormat="1" ht="12.95" customHeight="1" x14ac:dyDescent="0.25">
      <c r="B57" s="58"/>
      <c r="C57" s="58"/>
      <c r="D57" s="308">
        <v>2018</v>
      </c>
      <c r="E57" s="165" t="s">
        <v>51</v>
      </c>
      <c r="F57" s="165" t="s">
        <v>51</v>
      </c>
      <c r="G57" s="167" t="s">
        <v>51</v>
      </c>
    </row>
    <row r="58" spans="1:7" s="7" customFormat="1" ht="6" customHeight="1" x14ac:dyDescent="0.25">
      <c r="B58" s="58"/>
      <c r="C58" s="58"/>
      <c r="D58" s="308"/>
      <c r="E58" s="167"/>
      <c r="F58" s="165"/>
      <c r="G58" s="167"/>
    </row>
    <row r="59" spans="1:7" s="7" customFormat="1" ht="12.95" customHeight="1" x14ac:dyDescent="0.2">
      <c r="B59" s="58" t="s">
        <v>7</v>
      </c>
      <c r="C59" s="58"/>
      <c r="D59" s="307">
        <v>2016</v>
      </c>
      <c r="E59" s="167">
        <f>SUM(F59:G59)</f>
        <v>293</v>
      </c>
      <c r="F59" s="167">
        <v>63</v>
      </c>
      <c r="G59" s="167">
        <v>230</v>
      </c>
    </row>
    <row r="60" spans="1:7" s="7" customFormat="1" ht="12.95" customHeight="1" x14ac:dyDescent="0.2">
      <c r="B60" s="58"/>
      <c r="C60" s="58"/>
      <c r="D60" s="307">
        <v>2017</v>
      </c>
      <c r="E60" s="167">
        <f>SUM(F60:G60)</f>
        <v>286</v>
      </c>
      <c r="F60" s="167">
        <v>39</v>
      </c>
      <c r="G60" s="167">
        <v>247</v>
      </c>
    </row>
    <row r="61" spans="1:7" s="7" customFormat="1" ht="12.95" customHeight="1" x14ac:dyDescent="0.25">
      <c r="B61" s="58"/>
      <c r="C61" s="58"/>
      <c r="D61" s="308">
        <v>2018</v>
      </c>
      <c r="E61" s="167">
        <f>SUM(F61:G61)</f>
        <v>283</v>
      </c>
      <c r="F61" s="167">
        <v>55</v>
      </c>
      <c r="G61" s="167">
        <v>228</v>
      </c>
    </row>
    <row r="62" spans="1:7" s="7" customFormat="1" ht="6" customHeight="1" x14ac:dyDescent="0.3">
      <c r="B62" s="58"/>
      <c r="C62" s="58"/>
      <c r="D62" s="309"/>
      <c r="E62" s="167"/>
      <c r="F62" s="165"/>
      <c r="G62" s="167"/>
    </row>
    <row r="63" spans="1:7" s="7" customFormat="1" ht="12.95" customHeight="1" x14ac:dyDescent="0.2">
      <c r="B63" s="58" t="s">
        <v>8</v>
      </c>
      <c r="C63" s="58"/>
      <c r="D63" s="307">
        <v>2016</v>
      </c>
      <c r="E63" s="167">
        <f>SUM(F63:G63)</f>
        <v>352</v>
      </c>
      <c r="F63" s="167">
        <v>57</v>
      </c>
      <c r="G63" s="167">
        <v>295</v>
      </c>
    </row>
    <row r="64" spans="1:7" s="7" customFormat="1" ht="12.95" customHeight="1" x14ac:dyDescent="0.2">
      <c r="A64" s="14"/>
      <c r="B64" s="58"/>
      <c r="C64" s="58"/>
      <c r="D64" s="307">
        <v>2017</v>
      </c>
      <c r="E64" s="167">
        <f>SUM(F64:G64)</f>
        <v>370</v>
      </c>
      <c r="F64" s="167">
        <v>45</v>
      </c>
      <c r="G64" s="167">
        <v>325</v>
      </c>
    </row>
    <row r="65" spans="1:8" ht="12.95" customHeight="1" x14ac:dyDescent="0.25">
      <c r="B65" s="58"/>
      <c r="C65" s="58"/>
      <c r="D65" s="308">
        <v>2018</v>
      </c>
      <c r="E65" s="167">
        <f>SUM(F65:G65)</f>
        <v>360</v>
      </c>
      <c r="F65" s="167">
        <v>61</v>
      </c>
      <c r="G65" s="167">
        <v>299</v>
      </c>
    </row>
    <row r="66" spans="1:8" ht="6" customHeight="1" x14ac:dyDescent="0.3">
      <c r="B66" s="58"/>
      <c r="C66" s="58"/>
      <c r="D66" s="309"/>
      <c r="E66" s="167"/>
      <c r="F66" s="167"/>
      <c r="G66" s="167"/>
    </row>
    <row r="67" spans="1:8" ht="12.95" customHeight="1" x14ac:dyDescent="0.2">
      <c r="B67" s="58" t="s">
        <v>56</v>
      </c>
      <c r="C67" s="57"/>
      <c r="D67" s="307">
        <v>2016</v>
      </c>
      <c r="E67" s="167">
        <f>SUM(F67:G67)</f>
        <v>1801</v>
      </c>
      <c r="F67" s="167">
        <v>273</v>
      </c>
      <c r="G67" s="167">
        <v>1528</v>
      </c>
    </row>
    <row r="68" spans="1:8" ht="12.95" customHeight="1" x14ac:dyDescent="0.2">
      <c r="B68" s="58"/>
      <c r="C68" s="58"/>
      <c r="D68" s="307">
        <v>2017</v>
      </c>
      <c r="E68" s="167">
        <f>SUM(F68:G68)</f>
        <v>1474</v>
      </c>
      <c r="F68" s="167">
        <v>253</v>
      </c>
      <c r="G68" s="167">
        <v>1221</v>
      </c>
    </row>
    <row r="69" spans="1:8" ht="12.95" customHeight="1" x14ac:dyDescent="0.25">
      <c r="A69" s="7"/>
      <c r="B69" s="58"/>
      <c r="C69" s="58"/>
      <c r="D69" s="308">
        <v>2018</v>
      </c>
      <c r="E69" s="167">
        <f>SUM(F69:G69)</f>
        <v>1384</v>
      </c>
      <c r="F69" s="167">
        <v>189</v>
      </c>
      <c r="G69" s="167">
        <v>1195</v>
      </c>
      <c r="H69" s="7"/>
    </row>
    <row r="70" spans="1:8" ht="6" customHeight="1" thickBot="1" x14ac:dyDescent="0.25">
      <c r="A70" s="34"/>
      <c r="B70" s="60"/>
      <c r="C70" s="60"/>
      <c r="D70" s="60"/>
      <c r="E70" s="61"/>
      <c r="F70" s="61"/>
      <c r="G70" s="61"/>
      <c r="H70" s="34"/>
    </row>
    <row r="71" spans="1:8" x14ac:dyDescent="0.25">
      <c r="G71" s="175" t="s">
        <v>101</v>
      </c>
    </row>
    <row r="72" spans="1:8" x14ac:dyDescent="0.25">
      <c r="G72" s="176" t="s">
        <v>1</v>
      </c>
    </row>
    <row r="73" spans="1:8" x14ac:dyDescent="0.25">
      <c r="G73" s="174" t="s">
        <v>181</v>
      </c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abSelected="1" topLeftCell="A6" zoomScaleNormal="100" zoomScaleSheetLayoutView="100" workbookViewId="0">
      <selection activeCell="J23" sqref="J23"/>
    </sheetView>
  </sheetViews>
  <sheetFormatPr defaultRowHeight="15" x14ac:dyDescent="0.25"/>
  <cols>
    <col min="1" max="1" width="1.42578125" style="2" customWidth="1"/>
    <col min="2" max="2" width="9.8554687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203</v>
      </c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109" customFormat="1" ht="20.100000000000001" customHeight="1" x14ac:dyDescent="0.2">
      <c r="A15" s="233"/>
      <c r="B15" s="127" t="s">
        <v>207</v>
      </c>
      <c r="C15" s="127"/>
      <c r="D15" s="65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4" s="53" customFormat="1" ht="20.100000000000001" customHeight="1" x14ac:dyDescent="0.2">
      <c r="A16" s="233"/>
      <c r="B16" s="85"/>
      <c r="C16" s="85"/>
      <c r="D16" s="65"/>
      <c r="E16" s="167"/>
      <c r="F16" s="167"/>
      <c r="G16" s="167"/>
      <c r="H16" s="167"/>
      <c r="I16" s="167"/>
      <c r="J16" s="167"/>
      <c r="K16" s="167"/>
      <c r="L16" s="167"/>
      <c r="M16" s="167"/>
    </row>
    <row r="17" spans="1:13" s="53" customFormat="1" ht="20.100000000000001" customHeight="1" x14ac:dyDescent="0.2">
      <c r="A17" s="233"/>
      <c r="B17" s="85" t="s">
        <v>145</v>
      </c>
      <c r="C17" s="85"/>
      <c r="D17" s="162">
        <v>2016</v>
      </c>
      <c r="E17" s="167">
        <f>SUM(F17:M17)</f>
        <v>17</v>
      </c>
      <c r="F17" s="167">
        <v>2</v>
      </c>
      <c r="G17" s="167">
        <v>3</v>
      </c>
      <c r="H17" s="165" t="s">
        <v>51</v>
      </c>
      <c r="I17" s="167">
        <v>3</v>
      </c>
      <c r="J17" s="167"/>
      <c r="K17" s="165" t="s">
        <v>51</v>
      </c>
      <c r="L17" s="167">
        <v>3</v>
      </c>
      <c r="M17" s="167">
        <v>6</v>
      </c>
    </row>
    <row r="18" spans="1:13" s="53" customFormat="1" ht="20.100000000000001" customHeight="1" x14ac:dyDescent="0.2">
      <c r="A18" s="233"/>
      <c r="B18" s="85"/>
      <c r="C18" s="85"/>
      <c r="D18" s="162">
        <v>2017</v>
      </c>
      <c r="E18" s="167">
        <f>SUM(F18:M18)</f>
        <v>10</v>
      </c>
      <c r="F18" s="167" t="s">
        <v>51</v>
      </c>
      <c r="G18" s="167">
        <v>4</v>
      </c>
      <c r="H18" s="165" t="s">
        <v>51</v>
      </c>
      <c r="I18" s="165" t="s">
        <v>51</v>
      </c>
      <c r="J18" s="167"/>
      <c r="K18" s="165" t="s">
        <v>51</v>
      </c>
      <c r="L18" s="167">
        <v>1</v>
      </c>
      <c r="M18" s="167">
        <v>5</v>
      </c>
    </row>
    <row r="19" spans="1:13" s="53" customFormat="1" ht="20.100000000000001" customHeight="1" x14ac:dyDescent="0.2">
      <c r="A19" s="233"/>
      <c r="B19" s="85"/>
      <c r="C19" s="85"/>
      <c r="D19" s="162">
        <v>2018</v>
      </c>
      <c r="E19" s="167">
        <f>SUM(F19:M19)</f>
        <v>13</v>
      </c>
      <c r="F19" s="165" t="s">
        <v>51</v>
      </c>
      <c r="G19" s="167">
        <v>3</v>
      </c>
      <c r="H19" s="167">
        <v>1</v>
      </c>
      <c r="I19" s="167">
        <v>2</v>
      </c>
      <c r="J19" s="167"/>
      <c r="K19" s="165" t="s">
        <v>51</v>
      </c>
      <c r="L19" s="167">
        <v>1</v>
      </c>
      <c r="M19" s="167">
        <v>6</v>
      </c>
    </row>
    <row r="20" spans="1:13" s="53" customFormat="1" ht="20.100000000000001" customHeight="1" x14ac:dyDescent="0.2">
      <c r="A20" s="233"/>
      <c r="B20" s="85"/>
      <c r="C20" s="85"/>
      <c r="D20" s="162"/>
      <c r="E20" s="167"/>
      <c r="F20" s="167"/>
      <c r="G20" s="167"/>
      <c r="H20" s="167"/>
      <c r="I20" s="167"/>
      <c r="J20" s="167"/>
      <c r="K20" s="167"/>
      <c r="L20" s="167"/>
      <c r="M20" s="167"/>
    </row>
    <row r="21" spans="1:13" s="53" customFormat="1" ht="20.100000000000001" customHeight="1" x14ac:dyDescent="0.2">
      <c r="A21" s="233"/>
      <c r="B21" s="85" t="s">
        <v>146</v>
      </c>
      <c r="C21" s="85"/>
      <c r="D21" s="162">
        <v>2016</v>
      </c>
      <c r="E21" s="167">
        <f>SUM(F21:M21)</f>
        <v>105</v>
      </c>
      <c r="F21" s="167">
        <v>2</v>
      </c>
      <c r="G21" s="167">
        <v>19</v>
      </c>
      <c r="H21" s="167">
        <v>1</v>
      </c>
      <c r="I21" s="167">
        <v>47</v>
      </c>
      <c r="J21" s="167"/>
      <c r="K21" s="165" t="s">
        <v>51</v>
      </c>
      <c r="L21" s="167">
        <v>7</v>
      </c>
      <c r="M21" s="167">
        <v>29</v>
      </c>
    </row>
    <row r="22" spans="1:13" s="53" customFormat="1" ht="20.100000000000001" customHeight="1" x14ac:dyDescent="0.2">
      <c r="A22" s="233"/>
      <c r="B22" s="85"/>
      <c r="C22" s="85"/>
      <c r="D22" s="162">
        <v>2017</v>
      </c>
      <c r="E22" s="167">
        <f>SUM(F22:M22)</f>
        <v>78</v>
      </c>
      <c r="F22" s="167">
        <v>3</v>
      </c>
      <c r="G22" s="167">
        <v>10</v>
      </c>
      <c r="H22" s="165" t="s">
        <v>51</v>
      </c>
      <c r="I22" s="167">
        <v>33</v>
      </c>
      <c r="J22" s="167"/>
      <c r="K22" s="165" t="s">
        <v>51</v>
      </c>
      <c r="L22" s="167">
        <v>6</v>
      </c>
      <c r="M22" s="167">
        <v>26</v>
      </c>
    </row>
    <row r="23" spans="1:13" s="53" customFormat="1" ht="20.100000000000001" customHeight="1" x14ac:dyDescent="0.2">
      <c r="A23" s="233"/>
      <c r="B23" s="85"/>
      <c r="C23" s="85"/>
      <c r="D23" s="162">
        <v>2018</v>
      </c>
      <c r="E23" s="167">
        <f>SUM(F23:M23)</f>
        <v>60</v>
      </c>
      <c r="F23" s="167" t="s">
        <v>51</v>
      </c>
      <c r="G23" s="167">
        <v>13</v>
      </c>
      <c r="H23" s="165" t="s">
        <v>51</v>
      </c>
      <c r="I23" s="167">
        <v>32</v>
      </c>
      <c r="J23" s="167"/>
      <c r="K23" s="165" t="s">
        <v>51</v>
      </c>
      <c r="L23" s="167">
        <v>10</v>
      </c>
      <c r="M23" s="167">
        <v>5</v>
      </c>
    </row>
    <row r="24" spans="1:13" s="53" customFormat="1" ht="20.100000000000001" customHeight="1" x14ac:dyDescent="0.2">
      <c r="A24" s="233"/>
      <c r="B24" s="85"/>
      <c r="C24" s="85"/>
      <c r="D24" s="162"/>
      <c r="E24" s="167"/>
      <c r="F24" s="167"/>
      <c r="G24" s="167"/>
      <c r="H24" s="167"/>
      <c r="I24" s="167"/>
      <c r="J24" s="167"/>
      <c r="K24" s="167"/>
      <c r="L24" s="167"/>
      <c r="M24" s="167"/>
    </row>
    <row r="25" spans="1:13" s="53" customFormat="1" ht="20.100000000000001" customHeight="1" x14ac:dyDescent="0.2">
      <c r="A25" s="233"/>
      <c r="B25" s="85" t="s">
        <v>147</v>
      </c>
      <c r="C25" s="85"/>
      <c r="D25" s="162">
        <v>2016</v>
      </c>
      <c r="E25" s="167">
        <f>SUM(F25:M25)</f>
        <v>1</v>
      </c>
      <c r="F25" s="167" t="s">
        <v>51</v>
      </c>
      <c r="G25" s="167" t="s">
        <v>51</v>
      </c>
      <c r="H25" s="165" t="s">
        <v>51</v>
      </c>
      <c r="I25" s="165" t="s">
        <v>51</v>
      </c>
      <c r="J25" s="167"/>
      <c r="K25" s="165" t="s">
        <v>51</v>
      </c>
      <c r="L25" s="165" t="s">
        <v>51</v>
      </c>
      <c r="M25" s="167">
        <v>1</v>
      </c>
    </row>
    <row r="26" spans="1:13" s="53" customFormat="1" ht="20.100000000000001" customHeight="1" x14ac:dyDescent="0.2">
      <c r="A26" s="233"/>
      <c r="B26" s="85"/>
      <c r="C26" s="85"/>
      <c r="D26" s="162">
        <v>2017</v>
      </c>
      <c r="E26" s="167">
        <f>SUM(F26:M26)</f>
        <v>8</v>
      </c>
      <c r="F26" s="167" t="s">
        <v>51</v>
      </c>
      <c r="G26" s="167">
        <v>6</v>
      </c>
      <c r="H26" s="165" t="s">
        <v>51</v>
      </c>
      <c r="I26" s="167">
        <v>1</v>
      </c>
      <c r="J26" s="167"/>
      <c r="K26" s="165" t="s">
        <v>51</v>
      </c>
      <c r="L26" s="165" t="s">
        <v>51</v>
      </c>
      <c r="M26" s="167">
        <v>1</v>
      </c>
    </row>
    <row r="27" spans="1:13" s="53" customFormat="1" ht="20.100000000000001" customHeight="1" x14ac:dyDescent="0.2">
      <c r="A27" s="233"/>
      <c r="B27" s="85"/>
      <c r="C27" s="85"/>
      <c r="D27" s="162">
        <v>2018</v>
      </c>
      <c r="E27" s="167">
        <f>SUM(F27:M27)</f>
        <v>11</v>
      </c>
      <c r="F27" s="165">
        <v>1</v>
      </c>
      <c r="G27" s="167">
        <v>2</v>
      </c>
      <c r="H27" s="165" t="s">
        <v>51</v>
      </c>
      <c r="I27" s="167">
        <v>3</v>
      </c>
      <c r="J27" s="167"/>
      <c r="K27" s="165" t="s">
        <v>51</v>
      </c>
      <c r="L27" s="165" t="s">
        <v>51</v>
      </c>
      <c r="M27" s="167">
        <v>5</v>
      </c>
    </row>
    <row r="28" spans="1:13" s="53" customFormat="1" ht="20.100000000000001" customHeight="1" x14ac:dyDescent="0.2">
      <c r="A28" s="233"/>
      <c r="B28" s="85"/>
      <c r="C28" s="85"/>
      <c r="D28" s="162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1:13" s="53" customFormat="1" ht="20.100000000000001" customHeight="1" x14ac:dyDescent="0.2">
      <c r="A29" s="233"/>
      <c r="B29" s="85" t="s">
        <v>148</v>
      </c>
      <c r="C29" s="85"/>
      <c r="D29" s="162">
        <v>2016</v>
      </c>
      <c r="E29" s="167">
        <f>SUM(F29:M29)</f>
        <v>26</v>
      </c>
      <c r="F29" s="167" t="s">
        <v>51</v>
      </c>
      <c r="G29" s="167">
        <v>3</v>
      </c>
      <c r="H29" s="167">
        <v>1</v>
      </c>
      <c r="I29" s="167">
        <v>4</v>
      </c>
      <c r="J29" s="167"/>
      <c r="K29" s="165" t="s">
        <v>51</v>
      </c>
      <c r="L29" s="167">
        <v>2</v>
      </c>
      <c r="M29" s="167">
        <v>16</v>
      </c>
    </row>
    <row r="30" spans="1:13" s="53" customFormat="1" ht="20.100000000000001" customHeight="1" x14ac:dyDescent="0.2">
      <c r="A30" s="233"/>
      <c r="B30" s="85"/>
      <c r="C30" s="85"/>
      <c r="D30" s="162">
        <v>2017</v>
      </c>
      <c r="E30" s="167">
        <f>SUM(F30:M30)</f>
        <v>28</v>
      </c>
      <c r="F30" s="167">
        <v>1</v>
      </c>
      <c r="G30" s="167">
        <v>7</v>
      </c>
      <c r="H30" s="165" t="s">
        <v>51</v>
      </c>
      <c r="I30" s="167">
        <v>4</v>
      </c>
      <c r="J30" s="167"/>
      <c r="K30" s="165" t="s">
        <v>51</v>
      </c>
      <c r="L30" s="167">
        <v>5</v>
      </c>
      <c r="M30" s="167">
        <v>11</v>
      </c>
    </row>
    <row r="31" spans="1:13" s="53" customFormat="1" ht="20.100000000000001" customHeight="1" x14ac:dyDescent="0.2">
      <c r="A31" s="233"/>
      <c r="B31" s="85"/>
      <c r="C31" s="85"/>
      <c r="D31" s="162">
        <v>2018</v>
      </c>
      <c r="E31" s="167">
        <f>SUM(F31:M31)</f>
        <v>9</v>
      </c>
      <c r="F31" s="167" t="s">
        <v>51</v>
      </c>
      <c r="G31" s="167">
        <v>4</v>
      </c>
      <c r="H31" s="165" t="s">
        <v>51</v>
      </c>
      <c r="I31" s="167">
        <v>5</v>
      </c>
      <c r="J31" s="167"/>
      <c r="K31" s="165" t="s">
        <v>51</v>
      </c>
      <c r="L31" s="165" t="s">
        <v>51</v>
      </c>
      <c r="M31" s="167" t="s">
        <v>51</v>
      </c>
    </row>
    <row r="32" spans="1:13" s="53" customFormat="1" ht="20.100000000000001" customHeight="1" x14ac:dyDescent="0.2">
      <c r="A32" s="233"/>
      <c r="B32" s="85"/>
      <c r="C32" s="85"/>
      <c r="D32" s="162"/>
      <c r="E32" s="167"/>
      <c r="F32" s="167"/>
      <c r="G32" s="167"/>
      <c r="H32" s="167"/>
      <c r="I32" s="167"/>
      <c r="J32" s="167"/>
      <c r="K32" s="167"/>
      <c r="L32" s="167"/>
      <c r="M32" s="167"/>
    </row>
    <row r="33" spans="1:13" s="53" customFormat="1" ht="20.100000000000001" customHeight="1" x14ac:dyDescent="0.2">
      <c r="A33" s="233"/>
      <c r="B33" s="85" t="s">
        <v>149</v>
      </c>
      <c r="C33" s="85"/>
      <c r="D33" s="162">
        <v>2016</v>
      </c>
      <c r="E33" s="167">
        <f>SUM(F33:M33)</f>
        <v>19</v>
      </c>
      <c r="F33" s="167" t="s">
        <v>51</v>
      </c>
      <c r="G33" s="167">
        <v>2</v>
      </c>
      <c r="H33" s="165" t="s">
        <v>51</v>
      </c>
      <c r="I33" s="167">
        <v>7</v>
      </c>
      <c r="J33" s="167"/>
      <c r="K33" s="165" t="s">
        <v>51</v>
      </c>
      <c r="L33" s="165" t="s">
        <v>51</v>
      </c>
      <c r="M33" s="167">
        <v>10</v>
      </c>
    </row>
    <row r="34" spans="1:13" s="53" customFormat="1" ht="20.100000000000001" customHeight="1" x14ac:dyDescent="0.2">
      <c r="A34" s="233"/>
      <c r="B34" s="85"/>
      <c r="C34" s="85"/>
      <c r="D34" s="162">
        <v>2017</v>
      </c>
      <c r="E34" s="167">
        <f>SUM(F34:M34)</f>
        <v>25</v>
      </c>
      <c r="F34" s="167">
        <v>1</v>
      </c>
      <c r="G34" s="167">
        <v>2</v>
      </c>
      <c r="H34" s="165" t="s">
        <v>51</v>
      </c>
      <c r="I34" s="167">
        <v>12</v>
      </c>
      <c r="J34" s="167"/>
      <c r="K34" s="165" t="s">
        <v>51</v>
      </c>
      <c r="L34" s="165" t="s">
        <v>51</v>
      </c>
      <c r="M34" s="167">
        <v>10</v>
      </c>
    </row>
    <row r="35" spans="1:13" s="53" customFormat="1" ht="20.100000000000001" customHeight="1" x14ac:dyDescent="0.2">
      <c r="A35" s="233"/>
      <c r="B35" s="85"/>
      <c r="C35" s="85"/>
      <c r="D35" s="162">
        <v>2018</v>
      </c>
      <c r="E35" s="167">
        <f>SUM(F35:M35)</f>
        <v>18</v>
      </c>
      <c r="F35" s="167">
        <v>1</v>
      </c>
      <c r="G35" s="167">
        <v>4</v>
      </c>
      <c r="H35" s="165" t="s">
        <v>51</v>
      </c>
      <c r="I35" s="167">
        <v>9</v>
      </c>
      <c r="J35" s="167"/>
      <c r="K35" s="165" t="s">
        <v>51</v>
      </c>
      <c r="L35" s="167">
        <v>3</v>
      </c>
      <c r="M35" s="167">
        <v>1</v>
      </c>
    </row>
    <row r="36" spans="1:13" s="53" customFormat="1" ht="20.100000000000001" customHeight="1" x14ac:dyDescent="0.2">
      <c r="A36" s="233"/>
      <c r="B36" s="85"/>
      <c r="C36" s="85"/>
      <c r="D36" s="162"/>
      <c r="E36" s="167"/>
      <c r="F36" s="167"/>
      <c r="G36" s="167"/>
      <c r="H36" s="167"/>
      <c r="I36" s="167"/>
      <c r="J36" s="167"/>
      <c r="K36" s="167"/>
      <c r="L36" s="167"/>
      <c r="M36" s="167"/>
    </row>
    <row r="37" spans="1:13" s="53" customFormat="1" ht="20.100000000000001" customHeight="1" x14ac:dyDescent="0.2">
      <c r="A37" s="233"/>
      <c r="B37" s="85" t="s">
        <v>150</v>
      </c>
      <c r="C37" s="85"/>
      <c r="D37" s="162">
        <v>2016</v>
      </c>
      <c r="E37" s="167">
        <f>SUM(F37:M37)</f>
        <v>104</v>
      </c>
      <c r="F37" s="167">
        <v>7</v>
      </c>
      <c r="G37" s="167">
        <v>12</v>
      </c>
      <c r="H37" s="165" t="s">
        <v>51</v>
      </c>
      <c r="I37" s="167">
        <v>25</v>
      </c>
      <c r="J37" s="167"/>
      <c r="K37" s="165" t="s">
        <v>51</v>
      </c>
      <c r="L37" s="167">
        <v>3</v>
      </c>
      <c r="M37" s="167">
        <v>57</v>
      </c>
    </row>
    <row r="38" spans="1:13" s="53" customFormat="1" ht="20.100000000000001" customHeight="1" x14ac:dyDescent="0.2">
      <c r="A38" s="233"/>
      <c r="B38" s="85"/>
      <c r="C38" s="85"/>
      <c r="D38" s="162">
        <v>2017</v>
      </c>
      <c r="E38" s="167">
        <f>SUM(F38:M38)</f>
        <v>122</v>
      </c>
      <c r="F38" s="167">
        <v>5</v>
      </c>
      <c r="G38" s="167">
        <v>18</v>
      </c>
      <c r="H38" s="165" t="s">
        <v>51</v>
      </c>
      <c r="I38" s="167">
        <v>32</v>
      </c>
      <c r="J38" s="167"/>
      <c r="K38" s="165" t="s">
        <v>51</v>
      </c>
      <c r="L38" s="167">
        <v>16</v>
      </c>
      <c r="M38" s="167">
        <v>51</v>
      </c>
    </row>
    <row r="39" spans="1:13" s="53" customFormat="1" ht="20.100000000000001" customHeight="1" x14ac:dyDescent="0.2">
      <c r="A39" s="233"/>
      <c r="B39" s="85"/>
      <c r="C39" s="85"/>
      <c r="D39" s="162">
        <v>2018</v>
      </c>
      <c r="E39" s="167">
        <f>SUM(F39:M39)</f>
        <v>71</v>
      </c>
      <c r="F39" s="167">
        <v>4</v>
      </c>
      <c r="G39" s="167">
        <v>20</v>
      </c>
      <c r="H39" s="165" t="s">
        <v>51</v>
      </c>
      <c r="I39" s="167">
        <v>29</v>
      </c>
      <c r="J39" s="167"/>
      <c r="K39" s="165" t="s">
        <v>51</v>
      </c>
      <c r="L39" s="167">
        <v>10</v>
      </c>
      <c r="M39" s="167">
        <v>8</v>
      </c>
    </row>
    <row r="40" spans="1:13" s="53" customFormat="1" ht="20.100000000000001" customHeight="1" x14ac:dyDescent="0.2">
      <c r="A40" s="233"/>
      <c r="B40" s="85"/>
      <c r="C40" s="85"/>
      <c r="D40" s="162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3" s="53" customFormat="1" ht="20.100000000000001" customHeight="1" x14ac:dyDescent="0.2">
      <c r="A41" s="233"/>
      <c r="B41" s="85" t="s">
        <v>151</v>
      </c>
      <c r="C41" s="85"/>
      <c r="D41" s="162">
        <v>2016</v>
      </c>
      <c r="E41" s="167">
        <f>SUM(F41:M41)</f>
        <v>7</v>
      </c>
      <c r="F41" s="167" t="s">
        <v>51</v>
      </c>
      <c r="G41" s="167">
        <v>4</v>
      </c>
      <c r="H41" s="165" t="s">
        <v>51</v>
      </c>
      <c r="I41" s="167">
        <v>1</v>
      </c>
      <c r="J41" s="167"/>
      <c r="K41" s="165" t="s">
        <v>51</v>
      </c>
      <c r="L41" s="165" t="s">
        <v>51</v>
      </c>
      <c r="M41" s="167">
        <v>2</v>
      </c>
    </row>
    <row r="42" spans="1:13" s="53" customFormat="1" ht="20.100000000000001" customHeight="1" x14ac:dyDescent="0.2">
      <c r="A42" s="233"/>
      <c r="B42" s="85"/>
      <c r="C42" s="85"/>
      <c r="D42" s="162">
        <v>2017</v>
      </c>
      <c r="E42" s="167">
        <f>SUM(F42:M42)</f>
        <v>5</v>
      </c>
      <c r="F42" s="167" t="s">
        <v>51</v>
      </c>
      <c r="G42" s="167">
        <v>1</v>
      </c>
      <c r="H42" s="165" t="s">
        <v>51</v>
      </c>
      <c r="I42" s="165" t="s">
        <v>51</v>
      </c>
      <c r="J42" s="167"/>
      <c r="K42" s="165" t="s">
        <v>51</v>
      </c>
      <c r="L42" s="165" t="s">
        <v>51</v>
      </c>
      <c r="M42" s="167">
        <v>4</v>
      </c>
    </row>
    <row r="43" spans="1:13" s="53" customFormat="1" ht="20.100000000000001" customHeight="1" x14ac:dyDescent="0.2">
      <c r="A43" s="233"/>
      <c r="B43" s="85"/>
      <c r="C43" s="85"/>
      <c r="D43" s="162">
        <v>2018</v>
      </c>
      <c r="E43" s="167">
        <f>SUM(F43:M43)</f>
        <v>9</v>
      </c>
      <c r="F43" s="165" t="s">
        <v>51</v>
      </c>
      <c r="G43" s="167">
        <v>5</v>
      </c>
      <c r="H43" s="165" t="s">
        <v>51</v>
      </c>
      <c r="I43" s="165">
        <v>1</v>
      </c>
      <c r="J43" s="165"/>
      <c r="K43" s="165" t="s">
        <v>51</v>
      </c>
      <c r="L43" s="165">
        <v>1</v>
      </c>
      <c r="M43" s="167">
        <v>2</v>
      </c>
    </row>
    <row r="44" spans="1:13" s="53" customFormat="1" ht="20.100000000000001" customHeight="1" x14ac:dyDescent="0.2">
      <c r="A44" s="233"/>
      <c r="B44" s="85"/>
      <c r="C44" s="85"/>
      <c r="D44" s="162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53" customFormat="1" ht="20.100000000000001" customHeight="1" x14ac:dyDescent="0.2">
      <c r="A45" s="233"/>
      <c r="B45" s="85" t="s">
        <v>152</v>
      </c>
      <c r="C45" s="85"/>
      <c r="D45" s="162">
        <v>2016</v>
      </c>
      <c r="E45" s="167">
        <f>SUM(F45:M45)</f>
        <v>3</v>
      </c>
      <c r="F45" s="167" t="s">
        <v>51</v>
      </c>
      <c r="G45" s="167">
        <v>1</v>
      </c>
      <c r="H45" s="165" t="s">
        <v>51</v>
      </c>
      <c r="I45" s="167">
        <v>1</v>
      </c>
      <c r="J45" s="167"/>
      <c r="K45" s="165" t="s">
        <v>51</v>
      </c>
      <c r="L45" s="165" t="s">
        <v>51</v>
      </c>
      <c r="M45" s="167">
        <v>1</v>
      </c>
    </row>
    <row r="46" spans="1:13" s="53" customFormat="1" ht="20.100000000000001" customHeight="1" x14ac:dyDescent="0.2">
      <c r="A46" s="233"/>
      <c r="B46" s="85"/>
      <c r="C46" s="85"/>
      <c r="D46" s="162">
        <v>2017</v>
      </c>
      <c r="E46" s="167">
        <f>SUM(F46:M46)</f>
        <v>3</v>
      </c>
      <c r="F46" s="167" t="s">
        <v>51</v>
      </c>
      <c r="G46" s="167">
        <v>1</v>
      </c>
      <c r="H46" s="165" t="s">
        <v>51</v>
      </c>
      <c r="I46" s="165" t="s">
        <v>51</v>
      </c>
      <c r="J46" s="167"/>
      <c r="K46" s="165" t="s">
        <v>51</v>
      </c>
      <c r="L46" s="165" t="s">
        <v>51</v>
      </c>
      <c r="M46" s="167">
        <v>2</v>
      </c>
    </row>
    <row r="47" spans="1:13" s="53" customFormat="1" ht="20.100000000000001" customHeight="1" x14ac:dyDescent="0.2">
      <c r="A47" s="233"/>
      <c r="B47" s="85"/>
      <c r="C47" s="85"/>
      <c r="D47" s="162">
        <v>2018</v>
      </c>
      <c r="E47" s="167">
        <f>SUM(F47:M47)</f>
        <v>2</v>
      </c>
      <c r="F47" s="165" t="s">
        <v>51</v>
      </c>
      <c r="G47" s="167" t="s">
        <v>51</v>
      </c>
      <c r="H47" s="165" t="s">
        <v>51</v>
      </c>
      <c r="I47" s="165" t="s">
        <v>51</v>
      </c>
      <c r="J47" s="165"/>
      <c r="K47" s="165" t="s">
        <v>51</v>
      </c>
      <c r="L47" s="165" t="s">
        <v>51</v>
      </c>
      <c r="M47" s="167">
        <v>2</v>
      </c>
    </row>
    <row r="48" spans="1:13" s="53" customFormat="1" ht="20.100000000000001" customHeight="1" x14ac:dyDescent="0.2">
      <c r="A48" s="233"/>
      <c r="B48" s="85"/>
      <c r="C48" s="85"/>
      <c r="D48" s="162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4" s="53" customFormat="1" ht="20.100000000000001" customHeight="1" x14ac:dyDescent="0.2">
      <c r="A49" s="233"/>
      <c r="B49" s="85" t="s">
        <v>153</v>
      </c>
      <c r="C49" s="85"/>
      <c r="D49" s="162">
        <v>2016</v>
      </c>
      <c r="E49" s="167">
        <f>SUM(F49:M49)</f>
        <v>9</v>
      </c>
      <c r="F49" s="167" t="s">
        <v>51</v>
      </c>
      <c r="G49" s="167">
        <v>2</v>
      </c>
      <c r="H49" s="167">
        <v>1</v>
      </c>
      <c r="I49" s="167">
        <v>1</v>
      </c>
      <c r="J49" s="167"/>
      <c r="K49" s="165" t="s">
        <v>51</v>
      </c>
      <c r="L49" s="165" t="s">
        <v>51</v>
      </c>
      <c r="M49" s="167">
        <v>5</v>
      </c>
    </row>
    <row r="50" spans="1:14" s="53" customFormat="1" ht="20.100000000000001" customHeight="1" x14ac:dyDescent="0.2">
      <c r="A50" s="233"/>
      <c r="B50" s="85"/>
      <c r="C50" s="85"/>
      <c r="D50" s="162">
        <v>2017</v>
      </c>
      <c r="E50" s="167">
        <f>SUM(F50:M50)</f>
        <v>21</v>
      </c>
      <c r="F50" s="167">
        <v>1</v>
      </c>
      <c r="G50" s="167">
        <v>7</v>
      </c>
      <c r="H50" s="165" t="s">
        <v>51</v>
      </c>
      <c r="I50" s="167">
        <v>3</v>
      </c>
      <c r="J50" s="167"/>
      <c r="K50" s="165" t="s">
        <v>51</v>
      </c>
      <c r="L50" s="167">
        <v>3</v>
      </c>
      <c r="M50" s="167">
        <v>7</v>
      </c>
    </row>
    <row r="51" spans="1:14" s="53" customFormat="1" ht="20.100000000000001" customHeight="1" x14ac:dyDescent="0.2">
      <c r="A51" s="233"/>
      <c r="B51" s="85"/>
      <c r="C51" s="85"/>
      <c r="D51" s="162">
        <v>2018</v>
      </c>
      <c r="E51" s="167">
        <f>SUM(F51:M51)</f>
        <v>26</v>
      </c>
      <c r="F51" s="167">
        <v>1</v>
      </c>
      <c r="G51" s="167">
        <v>11</v>
      </c>
      <c r="H51" s="165" t="s">
        <v>51</v>
      </c>
      <c r="I51" s="167">
        <v>2</v>
      </c>
      <c r="J51" s="167"/>
      <c r="K51" s="165" t="s">
        <v>51</v>
      </c>
      <c r="L51" s="167">
        <v>1</v>
      </c>
      <c r="M51" s="167">
        <v>11</v>
      </c>
    </row>
    <row r="52" spans="1:14" s="53" customFormat="1" ht="20.100000000000001" customHeight="1" x14ac:dyDescent="0.2">
      <c r="A52" s="233"/>
      <c r="B52" s="85"/>
      <c r="C52" s="85"/>
      <c r="D52" s="162"/>
      <c r="E52" s="167"/>
      <c r="F52" s="167"/>
      <c r="G52" s="167"/>
      <c r="H52" s="167"/>
      <c r="I52" s="167"/>
      <c r="J52" s="167"/>
      <c r="K52" s="167"/>
      <c r="L52" s="167"/>
      <c r="M52" s="167"/>
    </row>
    <row r="53" spans="1:14" s="53" customFormat="1" ht="20.100000000000001" customHeight="1" x14ac:dyDescent="0.2">
      <c r="A53" s="233"/>
      <c r="B53" s="85" t="s">
        <v>154</v>
      </c>
      <c r="C53" s="85"/>
      <c r="D53" s="162">
        <v>2016</v>
      </c>
      <c r="E53" s="167">
        <f>SUM(F53:M53)</f>
        <v>5</v>
      </c>
      <c r="F53" s="167">
        <v>1</v>
      </c>
      <c r="G53" s="167">
        <v>2</v>
      </c>
      <c r="H53" s="165" t="s">
        <v>51</v>
      </c>
      <c r="I53" s="165" t="s">
        <v>51</v>
      </c>
      <c r="J53" s="167"/>
      <c r="K53" s="165" t="s">
        <v>51</v>
      </c>
      <c r="L53" s="165" t="s">
        <v>51</v>
      </c>
      <c r="M53" s="167">
        <v>2</v>
      </c>
    </row>
    <row r="54" spans="1:14" s="53" customFormat="1" ht="20.100000000000001" customHeight="1" x14ac:dyDescent="0.2">
      <c r="A54" s="233"/>
      <c r="B54" s="85"/>
      <c r="C54" s="85"/>
      <c r="D54" s="162">
        <v>2017</v>
      </c>
      <c r="E54" s="167">
        <f>SUM(F54:M54)</f>
        <v>5</v>
      </c>
      <c r="F54" s="167" t="s">
        <v>51</v>
      </c>
      <c r="G54" s="167" t="s">
        <v>51</v>
      </c>
      <c r="H54" s="165" t="s">
        <v>51</v>
      </c>
      <c r="I54" s="165" t="s">
        <v>51</v>
      </c>
      <c r="J54" s="167"/>
      <c r="K54" s="165" t="s">
        <v>51</v>
      </c>
      <c r="L54" s="165" t="s">
        <v>51</v>
      </c>
      <c r="M54" s="167">
        <v>5</v>
      </c>
    </row>
    <row r="55" spans="1:14" s="53" customFormat="1" ht="20.100000000000001" customHeight="1" x14ac:dyDescent="0.2">
      <c r="A55" s="233"/>
      <c r="B55" s="85"/>
      <c r="C55" s="85"/>
      <c r="D55" s="162">
        <v>2018</v>
      </c>
      <c r="E55" s="167">
        <f>SUM(F55:M55)</f>
        <v>4</v>
      </c>
      <c r="F55" s="165">
        <v>1</v>
      </c>
      <c r="G55" s="165">
        <v>1</v>
      </c>
      <c r="H55" s="165" t="s">
        <v>51</v>
      </c>
      <c r="I55" s="165">
        <v>1</v>
      </c>
      <c r="J55" s="165"/>
      <c r="K55" s="165" t="s">
        <v>51</v>
      </c>
      <c r="L55" s="165" t="s">
        <v>51</v>
      </c>
      <c r="M55" s="167">
        <v>1</v>
      </c>
    </row>
    <row r="56" spans="1:14" s="53" customFormat="1" ht="8.1" customHeight="1" thickBot="1" x14ac:dyDescent="0.25">
      <c r="A56" s="219"/>
      <c r="B56" s="220"/>
      <c r="C56" s="220"/>
      <c r="D56" s="220"/>
      <c r="E56" s="221"/>
      <c r="F56" s="222"/>
      <c r="G56" s="222"/>
      <c r="H56" s="222"/>
      <c r="I56" s="222"/>
      <c r="J56" s="222"/>
      <c r="K56" s="222"/>
      <c r="L56" s="222"/>
      <c r="M56" s="223"/>
      <c r="N56" s="219"/>
    </row>
    <row r="57" spans="1:14" s="53" customFormat="1" ht="12.75" x14ac:dyDescent="0.2">
      <c r="B57" s="118"/>
      <c r="C57" s="118"/>
      <c r="D57" s="118"/>
      <c r="E57" s="66"/>
      <c r="F57" s="117"/>
      <c r="G57" s="117"/>
      <c r="H57" s="117"/>
      <c r="I57" s="117"/>
      <c r="J57" s="117"/>
      <c r="K57" s="117"/>
      <c r="L57" s="117"/>
      <c r="M57" s="213"/>
      <c r="N57" s="8" t="s">
        <v>101</v>
      </c>
    </row>
    <row r="58" spans="1:14" s="53" customFormat="1" ht="12.75" x14ac:dyDescent="0.2">
      <c r="B58" s="118"/>
      <c r="C58" s="118"/>
      <c r="D58" s="118"/>
      <c r="E58" s="66"/>
      <c r="F58" s="117"/>
      <c r="G58" s="117"/>
      <c r="H58" s="117"/>
      <c r="I58" s="117"/>
      <c r="J58" s="117"/>
      <c r="K58" s="117"/>
      <c r="L58" s="117"/>
      <c r="M58" s="213"/>
      <c r="N58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1"/>
  <sheetViews>
    <sheetView showGridLines="0" tabSelected="1" zoomScale="90" zoomScaleNormal="90" zoomScaleSheetLayoutView="100" workbookViewId="0">
      <selection activeCell="J23" sqref="J23"/>
    </sheetView>
  </sheetViews>
  <sheetFormatPr defaultRowHeight="15" x14ac:dyDescent="0.25"/>
  <cols>
    <col min="1" max="1" width="1.7109375" style="2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6" ht="9.9499999999999993" customHeight="1" x14ac:dyDescent="0.25">
      <c r="B1" s="3" t="s">
        <v>203</v>
      </c>
    </row>
    <row r="2" spans="1:16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6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6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6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6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6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6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6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6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6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6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6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6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6" s="53" customFormat="1" ht="15.95" customHeight="1" x14ac:dyDescent="0.2">
      <c r="A15" s="233"/>
      <c r="B15" s="127" t="s">
        <v>102</v>
      </c>
      <c r="C15" s="127"/>
      <c r="D15" s="65">
        <v>2016</v>
      </c>
      <c r="E15" s="166">
        <f>SUM(F15:M15)</f>
        <v>6611</v>
      </c>
      <c r="F15" s="166">
        <f>SUM(F19,F23,F27,F31,F35,F39,F43,F47,F51,F55,F59,F63,F67,F71,F75)</f>
        <v>105</v>
      </c>
      <c r="G15" s="166">
        <f t="shared" ref="G15:M15" si="0">SUM(G19,G23,G27,G31,G35,G39,G43,G47,G51,G55,G59,G63,G67,G71,G75)</f>
        <v>305</v>
      </c>
      <c r="H15" s="166">
        <f t="shared" ref="H15:I15" si="1">SUM(H19,H23,H27,H31,H35,H39,H43,H47,H51,H55,H59,H63,H67,H71,H75)</f>
        <v>7</v>
      </c>
      <c r="I15" s="166">
        <f t="shared" si="1"/>
        <v>4028</v>
      </c>
      <c r="J15" s="166"/>
      <c r="K15" s="166">
        <f t="shared" ref="K15:L15" si="2">SUM(K19,K23,K27,K31,K35,K39,K43,K47,K51,K55,K59,K63,K67,K71,K75)</f>
        <v>1</v>
      </c>
      <c r="L15" s="166">
        <f t="shared" si="2"/>
        <v>905</v>
      </c>
      <c r="M15" s="166">
        <f t="shared" si="0"/>
        <v>1260</v>
      </c>
      <c r="N15" s="119"/>
    </row>
    <row r="16" spans="1:16" s="53" customFormat="1" ht="15.95" customHeight="1" x14ac:dyDescent="0.2">
      <c r="A16" s="233"/>
      <c r="B16" s="127"/>
      <c r="C16" s="127"/>
      <c r="D16" s="65">
        <v>2017</v>
      </c>
      <c r="E16" s="166">
        <f>SUM(F16:M16)</f>
        <v>6470</v>
      </c>
      <c r="F16" s="166">
        <f t="shared" ref="F16:M17" si="3">SUM(F20,F24,F28,F32,F36,F40,F44,F48,F52,F56,F60,F64,F68,F72,F76)</f>
        <v>83</v>
      </c>
      <c r="G16" s="166">
        <f t="shared" si="3"/>
        <v>321</v>
      </c>
      <c r="H16" s="166">
        <f t="shared" ref="H16:I16" si="4">SUM(H20,H24,H28,H32,H36,H40,H44,H48,H52,H56,H60,H64,H68,H72,H76)</f>
        <v>12</v>
      </c>
      <c r="I16" s="166">
        <f t="shared" si="4"/>
        <v>3747</v>
      </c>
      <c r="J16" s="166"/>
      <c r="K16" s="166">
        <f>SUM(K20,K24,K28,K32,K36,K40,K44,K48,K52,K56,K60,K64,K68,K72,K76)</f>
        <v>2</v>
      </c>
      <c r="L16" s="166">
        <f t="shared" ref="L16" si="5">SUM(L20,L24,L28,L32,L36,L40,L44,L48,L52,L56,L60,L64,L68,L72,L76)</f>
        <v>1197</v>
      </c>
      <c r="M16" s="166">
        <f t="shared" si="3"/>
        <v>1108</v>
      </c>
      <c r="N16" s="119"/>
      <c r="P16" s="232"/>
    </row>
    <row r="17" spans="1:17" s="53" customFormat="1" ht="15.95" customHeight="1" x14ac:dyDescent="0.2">
      <c r="A17" s="233"/>
      <c r="B17" s="127"/>
      <c r="C17" s="127"/>
      <c r="D17" s="65">
        <v>2018</v>
      </c>
      <c r="E17" s="166">
        <f>SUM(F17:M17)</f>
        <v>4658</v>
      </c>
      <c r="F17" s="166">
        <f t="shared" si="3"/>
        <v>91</v>
      </c>
      <c r="G17" s="166">
        <f t="shared" si="3"/>
        <v>294</v>
      </c>
      <c r="H17" s="166">
        <f t="shared" ref="H17:I17" si="6">SUM(H21,H25,H29,H33,H37,H41,H45,H49,H53,H57,H61,H65,H69,H73,H77)</f>
        <v>11</v>
      </c>
      <c r="I17" s="166">
        <f t="shared" si="6"/>
        <v>2314</v>
      </c>
      <c r="J17" s="166"/>
      <c r="K17" s="166">
        <f t="shared" ref="K17:L17" si="7">SUM(K21,K25,K29,K33,K37,K41,K45,K49,K53,K57,K61,K65,K69,K73,K77)</f>
        <v>3</v>
      </c>
      <c r="L17" s="166">
        <f t="shared" si="7"/>
        <v>952</v>
      </c>
      <c r="M17" s="166">
        <f>SUM(M21,M25,M29,M33,M37,M41,M45,M49,M53,M57,M61,M65,M69,M73,M77)</f>
        <v>993</v>
      </c>
      <c r="N17" s="166">
        <f t="shared" ref="N17" si="8">N21+N25+N29+N33+N37+N41+N45+N49+N53+N57+N61+N65+N69+N73+N77</f>
        <v>0</v>
      </c>
      <c r="P17" s="232"/>
    </row>
    <row r="18" spans="1:17" s="53" customFormat="1" ht="5.0999999999999996" customHeight="1" x14ac:dyDescent="0.2">
      <c r="A18" s="233"/>
      <c r="B18" s="127"/>
      <c r="C18" s="127"/>
      <c r="D18" s="65"/>
      <c r="E18" s="166"/>
      <c r="F18" s="166"/>
      <c r="G18" s="166"/>
      <c r="H18" s="166"/>
      <c r="I18" s="166"/>
      <c r="J18" s="166"/>
      <c r="K18" s="166"/>
      <c r="L18" s="166"/>
      <c r="M18" s="166"/>
      <c r="N18" s="119"/>
      <c r="P18" s="232"/>
    </row>
    <row r="19" spans="1:17" s="53" customFormat="1" ht="15.95" customHeight="1" x14ac:dyDescent="0.2">
      <c r="A19" s="233"/>
      <c r="B19" s="85" t="s">
        <v>103</v>
      </c>
      <c r="C19" s="85"/>
      <c r="D19" s="162">
        <v>2016</v>
      </c>
      <c r="E19" s="167">
        <f>SUM(F19:M19)</f>
        <v>555</v>
      </c>
      <c r="F19" s="167">
        <v>5</v>
      </c>
      <c r="G19" s="167">
        <v>30</v>
      </c>
      <c r="H19" s="165" t="s">
        <v>51</v>
      </c>
      <c r="I19" s="167">
        <v>380</v>
      </c>
      <c r="J19" s="167"/>
      <c r="K19" s="167">
        <v>1</v>
      </c>
      <c r="L19" s="167">
        <v>73</v>
      </c>
      <c r="M19" s="167">
        <v>66</v>
      </c>
      <c r="N19" s="119"/>
      <c r="P19" s="232"/>
    </row>
    <row r="20" spans="1:17" s="53" customFormat="1" ht="15.95" customHeight="1" x14ac:dyDescent="0.2">
      <c r="A20" s="233"/>
      <c r="B20" s="85"/>
      <c r="C20" s="85"/>
      <c r="D20" s="162">
        <v>2017</v>
      </c>
      <c r="E20" s="167">
        <f>SUM(F20:M20)</f>
        <v>707</v>
      </c>
      <c r="F20" s="167">
        <v>4</v>
      </c>
      <c r="G20" s="167">
        <v>36</v>
      </c>
      <c r="H20" s="165" t="s">
        <v>51</v>
      </c>
      <c r="I20" s="167">
        <v>434</v>
      </c>
      <c r="J20" s="167"/>
      <c r="K20" s="167"/>
      <c r="L20" s="167">
        <v>147</v>
      </c>
      <c r="M20" s="167">
        <v>86</v>
      </c>
      <c r="N20" s="119"/>
      <c r="P20" s="232"/>
    </row>
    <row r="21" spans="1:17" s="53" customFormat="1" ht="15.95" customHeight="1" x14ac:dyDescent="0.2">
      <c r="A21" s="233"/>
      <c r="B21" s="85"/>
      <c r="C21" s="85"/>
      <c r="D21" s="162">
        <v>2018</v>
      </c>
      <c r="E21" s="167">
        <f>SUM(F21:M21)</f>
        <v>571</v>
      </c>
      <c r="F21" s="167">
        <v>5</v>
      </c>
      <c r="G21" s="167">
        <v>26</v>
      </c>
      <c r="H21" s="165" t="s">
        <v>51</v>
      </c>
      <c r="I21" s="167">
        <v>281</v>
      </c>
      <c r="J21" s="167"/>
      <c r="K21" s="167"/>
      <c r="L21" s="167">
        <v>163</v>
      </c>
      <c r="M21" s="167">
        <v>96</v>
      </c>
      <c r="N21" s="119"/>
      <c r="P21" s="232"/>
      <c r="Q21" s="85"/>
    </row>
    <row r="22" spans="1:17" s="53" customFormat="1" ht="5.0999999999999996" customHeight="1" x14ac:dyDescent="0.2">
      <c r="A22" s="233"/>
      <c r="B22" s="85"/>
      <c r="C22" s="85"/>
      <c r="D22" s="162"/>
      <c r="E22" s="167"/>
      <c r="F22" s="167"/>
      <c r="G22" s="167"/>
      <c r="H22" s="167"/>
      <c r="I22" s="167"/>
      <c r="J22" s="167"/>
      <c r="K22" s="167"/>
      <c r="L22" s="167"/>
      <c r="M22" s="167"/>
      <c r="N22" s="119"/>
      <c r="P22" s="232"/>
      <c r="Q22" s="85"/>
    </row>
    <row r="23" spans="1:17" s="53" customFormat="1" ht="15.95" customHeight="1" x14ac:dyDescent="0.2">
      <c r="A23" s="233"/>
      <c r="B23" s="85" t="s">
        <v>104</v>
      </c>
      <c r="C23" s="85"/>
      <c r="D23" s="162">
        <v>2016</v>
      </c>
      <c r="E23" s="167">
        <f>SUM(F23:M23)</f>
        <v>854</v>
      </c>
      <c r="F23" s="167">
        <v>11</v>
      </c>
      <c r="G23" s="167">
        <v>39</v>
      </c>
      <c r="H23" s="165" t="s">
        <v>51</v>
      </c>
      <c r="I23" s="167">
        <v>511</v>
      </c>
      <c r="J23" s="167"/>
      <c r="K23" s="165" t="s">
        <v>51</v>
      </c>
      <c r="L23" s="167">
        <v>152</v>
      </c>
      <c r="M23" s="167">
        <v>141</v>
      </c>
      <c r="N23" s="119"/>
    </row>
    <row r="24" spans="1:17" s="118" customFormat="1" ht="15.95" customHeight="1" x14ac:dyDescent="0.2">
      <c r="A24" s="233"/>
      <c r="B24" s="85"/>
      <c r="C24" s="85"/>
      <c r="D24" s="162">
        <v>2017</v>
      </c>
      <c r="E24" s="167">
        <f>SUM(F24:M24)</f>
        <v>838</v>
      </c>
      <c r="F24" s="167">
        <v>11</v>
      </c>
      <c r="G24" s="167">
        <v>41</v>
      </c>
      <c r="H24" s="167">
        <v>2</v>
      </c>
      <c r="I24" s="167">
        <v>524</v>
      </c>
      <c r="J24" s="167"/>
      <c r="K24" s="165" t="s">
        <v>51</v>
      </c>
      <c r="L24" s="167">
        <v>146</v>
      </c>
      <c r="M24" s="167">
        <v>114</v>
      </c>
      <c r="N24" s="119"/>
    </row>
    <row r="25" spans="1:17" s="53" customFormat="1" ht="15.95" customHeight="1" x14ac:dyDescent="0.2">
      <c r="A25" s="233"/>
      <c r="B25" s="85"/>
      <c r="C25" s="85"/>
      <c r="D25" s="162">
        <v>2018</v>
      </c>
      <c r="E25" s="167">
        <f>SUM(F25:M25)</f>
        <v>563</v>
      </c>
      <c r="F25" s="167">
        <v>7</v>
      </c>
      <c r="G25" s="167">
        <v>37</v>
      </c>
      <c r="H25" s="167">
        <v>1</v>
      </c>
      <c r="I25" s="167">
        <v>306</v>
      </c>
      <c r="J25" s="167"/>
      <c r="K25" s="165" t="s">
        <v>51</v>
      </c>
      <c r="L25" s="167">
        <v>132</v>
      </c>
      <c r="M25" s="167">
        <v>80</v>
      </c>
      <c r="N25" s="119"/>
    </row>
    <row r="26" spans="1:17" s="53" customFormat="1" ht="5.0999999999999996" customHeight="1" x14ac:dyDescent="0.2">
      <c r="A26" s="233"/>
      <c r="B26" s="85"/>
      <c r="C26" s="85"/>
      <c r="D26" s="162"/>
      <c r="E26" s="167"/>
      <c r="F26" s="167"/>
      <c r="G26" s="167"/>
      <c r="H26" s="167"/>
      <c r="I26" s="167"/>
      <c r="J26" s="167"/>
      <c r="K26" s="167"/>
      <c r="L26" s="167"/>
      <c r="M26" s="167"/>
      <c r="N26" s="119"/>
    </row>
    <row r="27" spans="1:17" s="53" customFormat="1" ht="15.95" customHeight="1" x14ac:dyDescent="0.2">
      <c r="A27" s="233"/>
      <c r="B27" s="85" t="s">
        <v>105</v>
      </c>
      <c r="C27" s="85"/>
      <c r="D27" s="162">
        <v>2016</v>
      </c>
      <c r="E27" s="167">
        <f>SUM(F27:M27)</f>
        <v>88</v>
      </c>
      <c r="F27" s="167">
        <v>5</v>
      </c>
      <c r="G27" s="167">
        <v>18</v>
      </c>
      <c r="H27" s="165" t="s">
        <v>51</v>
      </c>
      <c r="I27" s="167">
        <v>34</v>
      </c>
      <c r="J27" s="167"/>
      <c r="K27" s="165" t="s">
        <v>51</v>
      </c>
      <c r="L27" s="167">
        <v>13</v>
      </c>
      <c r="M27" s="167">
        <v>18</v>
      </c>
      <c r="N27" s="119"/>
    </row>
    <row r="28" spans="1:17" s="53" customFormat="1" ht="15.95" customHeight="1" x14ac:dyDescent="0.2">
      <c r="A28" s="233"/>
      <c r="B28" s="85"/>
      <c r="C28" s="85"/>
      <c r="D28" s="162">
        <v>2017</v>
      </c>
      <c r="E28" s="167">
        <f>SUM(F28:M28)</f>
        <v>110</v>
      </c>
      <c r="F28" s="167">
        <v>3</v>
      </c>
      <c r="G28" s="167">
        <v>30</v>
      </c>
      <c r="H28" s="165" t="s">
        <v>51</v>
      </c>
      <c r="I28" s="167">
        <v>45</v>
      </c>
      <c r="J28" s="167"/>
      <c r="K28" s="165" t="s">
        <v>51</v>
      </c>
      <c r="L28" s="167">
        <v>7</v>
      </c>
      <c r="M28" s="167">
        <v>25</v>
      </c>
      <c r="N28" s="119"/>
    </row>
    <row r="29" spans="1:17" s="53" customFormat="1" ht="15.95" customHeight="1" x14ac:dyDescent="0.2">
      <c r="A29" s="233"/>
      <c r="B29" s="85"/>
      <c r="C29" s="85"/>
      <c r="D29" s="162">
        <v>2018</v>
      </c>
      <c r="E29" s="167">
        <f>SUM(F29:M29)</f>
        <v>98</v>
      </c>
      <c r="F29" s="167">
        <v>2</v>
      </c>
      <c r="G29" s="167">
        <v>31</v>
      </c>
      <c r="H29" s="165" t="s">
        <v>51</v>
      </c>
      <c r="I29" s="167">
        <v>32</v>
      </c>
      <c r="J29" s="167"/>
      <c r="K29" s="165" t="s">
        <v>51</v>
      </c>
      <c r="L29" s="167">
        <v>5</v>
      </c>
      <c r="M29" s="167">
        <v>28</v>
      </c>
      <c r="N29" s="119"/>
    </row>
    <row r="30" spans="1:17" s="53" customFormat="1" ht="5.0999999999999996" customHeight="1" x14ac:dyDescent="0.2">
      <c r="A30" s="233"/>
      <c r="B30" s="85"/>
      <c r="C30" s="85"/>
      <c r="D30" s="162"/>
      <c r="E30" s="167"/>
      <c r="F30" s="167"/>
      <c r="G30" s="167"/>
      <c r="H30" s="167"/>
      <c r="I30" s="167"/>
      <c r="J30" s="167"/>
      <c r="K30" s="167"/>
      <c r="L30" s="167"/>
      <c r="M30" s="167"/>
      <c r="N30" s="119"/>
    </row>
    <row r="31" spans="1:17" s="53" customFormat="1" ht="15.95" customHeight="1" x14ac:dyDescent="0.2">
      <c r="A31" s="233"/>
      <c r="B31" s="85" t="s">
        <v>106</v>
      </c>
      <c r="C31" s="85"/>
      <c r="D31" s="162">
        <v>2016</v>
      </c>
      <c r="E31" s="167">
        <f>SUM(F31:M31)</f>
        <v>701</v>
      </c>
      <c r="F31" s="167">
        <v>11</v>
      </c>
      <c r="G31" s="167">
        <v>24</v>
      </c>
      <c r="H31" s="165" t="s">
        <v>51</v>
      </c>
      <c r="I31" s="167">
        <v>447</v>
      </c>
      <c r="J31" s="167"/>
      <c r="K31" s="165" t="s">
        <v>51</v>
      </c>
      <c r="L31" s="167">
        <v>82</v>
      </c>
      <c r="M31" s="167">
        <v>137</v>
      </c>
      <c r="N31" s="119"/>
    </row>
    <row r="32" spans="1:17" s="53" customFormat="1" ht="15.95" customHeight="1" x14ac:dyDescent="0.2">
      <c r="A32" s="233"/>
      <c r="B32" s="85"/>
      <c r="C32" s="85"/>
      <c r="D32" s="162">
        <v>2017</v>
      </c>
      <c r="E32" s="167">
        <f>SUM(F32:M32)</f>
        <v>971</v>
      </c>
      <c r="F32" s="167">
        <v>11</v>
      </c>
      <c r="G32" s="167">
        <v>23</v>
      </c>
      <c r="H32" s="165" t="s">
        <v>51</v>
      </c>
      <c r="I32" s="167">
        <v>572</v>
      </c>
      <c r="J32" s="167"/>
      <c r="K32" s="165" t="s">
        <v>51</v>
      </c>
      <c r="L32" s="167">
        <v>232</v>
      </c>
      <c r="M32" s="167">
        <v>133</v>
      </c>
      <c r="N32" s="119"/>
    </row>
    <row r="33" spans="1:14" s="53" customFormat="1" ht="15.95" customHeight="1" x14ac:dyDescent="0.2">
      <c r="A33" s="233"/>
      <c r="B33" s="85"/>
      <c r="C33" s="85"/>
      <c r="D33" s="162">
        <v>2018</v>
      </c>
      <c r="E33" s="167">
        <f>SUM(F33:M33)</f>
        <v>497</v>
      </c>
      <c r="F33" s="167">
        <v>19</v>
      </c>
      <c r="G33" s="167">
        <v>29</v>
      </c>
      <c r="H33" s="165" t="s">
        <v>51</v>
      </c>
      <c r="I33" s="167">
        <v>249</v>
      </c>
      <c r="J33" s="167"/>
      <c r="K33" s="165" t="s">
        <v>51</v>
      </c>
      <c r="L33" s="167">
        <v>90</v>
      </c>
      <c r="M33" s="167">
        <v>110</v>
      </c>
      <c r="N33" s="119"/>
    </row>
    <row r="34" spans="1:14" s="53" customFormat="1" ht="5.0999999999999996" customHeight="1" x14ac:dyDescent="0.2">
      <c r="A34" s="233"/>
      <c r="B34" s="85"/>
      <c r="C34" s="85"/>
      <c r="D34" s="162"/>
      <c r="E34" s="167"/>
      <c r="F34" s="167"/>
      <c r="G34" s="167"/>
      <c r="H34" s="167"/>
      <c r="I34" s="167"/>
      <c r="J34" s="167"/>
      <c r="K34" s="167"/>
      <c r="L34" s="167"/>
      <c r="M34" s="167"/>
      <c r="N34" s="119"/>
    </row>
    <row r="35" spans="1:14" s="53" customFormat="1" ht="15.95" customHeight="1" x14ac:dyDescent="0.2">
      <c r="A35" s="233"/>
      <c r="B35" s="85" t="s">
        <v>107</v>
      </c>
      <c r="C35" s="85"/>
      <c r="D35" s="162">
        <v>2016</v>
      </c>
      <c r="E35" s="167">
        <f>SUM(F35:M35)</f>
        <v>670</v>
      </c>
      <c r="F35" s="167">
        <v>13</v>
      </c>
      <c r="G35" s="167">
        <v>37</v>
      </c>
      <c r="H35" s="167">
        <v>2</v>
      </c>
      <c r="I35" s="167">
        <v>376</v>
      </c>
      <c r="J35" s="167"/>
      <c r="K35" s="165" t="s">
        <v>51</v>
      </c>
      <c r="L35" s="167">
        <v>82</v>
      </c>
      <c r="M35" s="167">
        <v>160</v>
      </c>
      <c r="N35" s="119"/>
    </row>
    <row r="36" spans="1:14" s="53" customFormat="1" ht="15.95" customHeight="1" x14ac:dyDescent="0.2">
      <c r="A36" s="233"/>
      <c r="B36" s="85"/>
      <c r="C36" s="85"/>
      <c r="D36" s="162">
        <v>2017</v>
      </c>
      <c r="E36" s="167">
        <f>SUM(F36:M36)</f>
        <v>582</v>
      </c>
      <c r="F36" s="167">
        <v>8</v>
      </c>
      <c r="G36" s="167">
        <v>16</v>
      </c>
      <c r="H36" s="167">
        <v>3</v>
      </c>
      <c r="I36" s="167">
        <v>338</v>
      </c>
      <c r="J36" s="167"/>
      <c r="K36" s="165" t="s">
        <v>51</v>
      </c>
      <c r="L36" s="167">
        <v>84</v>
      </c>
      <c r="M36" s="167">
        <v>133</v>
      </c>
      <c r="N36" s="119"/>
    </row>
    <row r="37" spans="1:14" s="53" customFormat="1" ht="15.95" customHeight="1" x14ac:dyDescent="0.2">
      <c r="A37" s="233"/>
      <c r="B37" s="85"/>
      <c r="C37" s="85"/>
      <c r="D37" s="162">
        <v>2018</v>
      </c>
      <c r="E37" s="167">
        <f>SUM(F37:M37)</f>
        <v>502</v>
      </c>
      <c r="F37" s="167">
        <v>10</v>
      </c>
      <c r="G37" s="167">
        <v>21</v>
      </c>
      <c r="H37" s="165" t="s">
        <v>51</v>
      </c>
      <c r="I37" s="167">
        <v>282</v>
      </c>
      <c r="J37" s="167"/>
      <c r="K37" s="165" t="s">
        <v>51</v>
      </c>
      <c r="L37" s="167">
        <v>92</v>
      </c>
      <c r="M37" s="167">
        <v>97</v>
      </c>
      <c r="N37" s="119"/>
    </row>
    <row r="38" spans="1:14" s="53" customFormat="1" ht="5.0999999999999996" customHeight="1" x14ac:dyDescent="0.2">
      <c r="A38" s="233"/>
      <c r="B38" s="85"/>
      <c r="C38" s="85"/>
      <c r="D38" s="162"/>
      <c r="E38" s="167"/>
      <c r="F38" s="167"/>
      <c r="G38" s="167"/>
      <c r="H38" s="167"/>
      <c r="I38" s="167"/>
      <c r="J38" s="167"/>
      <c r="K38" s="167"/>
      <c r="L38" s="167"/>
      <c r="M38" s="167"/>
      <c r="N38" s="119"/>
    </row>
    <row r="39" spans="1:14" s="53" customFormat="1" ht="15.95" customHeight="1" x14ac:dyDescent="0.2">
      <c r="A39" s="233"/>
      <c r="B39" s="85" t="s">
        <v>108</v>
      </c>
      <c r="C39" s="85"/>
      <c r="D39" s="162">
        <v>2016</v>
      </c>
      <c r="E39" s="167">
        <f>SUM(F39:M39)</f>
        <v>439</v>
      </c>
      <c r="F39" s="167">
        <v>13</v>
      </c>
      <c r="G39" s="167">
        <v>17</v>
      </c>
      <c r="H39" s="165" t="s">
        <v>51</v>
      </c>
      <c r="I39" s="167">
        <v>265</v>
      </c>
      <c r="J39" s="167"/>
      <c r="K39" s="165" t="s">
        <v>51</v>
      </c>
      <c r="L39" s="167">
        <v>54</v>
      </c>
      <c r="M39" s="167">
        <v>90</v>
      </c>
      <c r="N39" s="119"/>
    </row>
    <row r="40" spans="1:14" s="53" customFormat="1" ht="15.95" customHeight="1" x14ac:dyDescent="0.2">
      <c r="A40" s="233"/>
      <c r="B40" s="85"/>
      <c r="C40" s="85"/>
      <c r="D40" s="162">
        <v>2017</v>
      </c>
      <c r="E40" s="167">
        <f>SUM(F40:M40)</f>
        <v>392</v>
      </c>
      <c r="F40" s="167">
        <v>3</v>
      </c>
      <c r="G40" s="167">
        <v>16</v>
      </c>
      <c r="H40" s="165" t="s">
        <v>51</v>
      </c>
      <c r="I40" s="167">
        <v>244</v>
      </c>
      <c r="J40" s="167"/>
      <c r="K40" s="165" t="s">
        <v>51</v>
      </c>
      <c r="L40" s="167">
        <v>46</v>
      </c>
      <c r="M40" s="167">
        <v>83</v>
      </c>
      <c r="N40" s="119"/>
    </row>
    <row r="41" spans="1:14" s="53" customFormat="1" ht="15.95" customHeight="1" x14ac:dyDescent="0.2">
      <c r="A41" s="233"/>
      <c r="B41" s="85"/>
      <c r="C41" s="85"/>
      <c r="D41" s="162">
        <v>2018</v>
      </c>
      <c r="E41" s="167">
        <f>SUM(F41:M41)</f>
        <v>273</v>
      </c>
      <c r="F41" s="167">
        <v>6</v>
      </c>
      <c r="G41" s="167">
        <v>12</v>
      </c>
      <c r="H41" s="167">
        <v>2</v>
      </c>
      <c r="I41" s="167">
        <v>126</v>
      </c>
      <c r="J41" s="167"/>
      <c r="K41" s="165" t="s">
        <v>51</v>
      </c>
      <c r="L41" s="167">
        <v>31</v>
      </c>
      <c r="M41" s="167">
        <v>96</v>
      </c>
      <c r="N41" s="119"/>
    </row>
    <row r="42" spans="1:14" s="53" customFormat="1" ht="5.0999999999999996" customHeight="1" x14ac:dyDescent="0.2">
      <c r="A42" s="233"/>
      <c r="B42" s="85"/>
      <c r="C42" s="85"/>
      <c r="D42" s="162"/>
      <c r="E42" s="167"/>
      <c r="F42" s="167"/>
      <c r="G42" s="167"/>
      <c r="H42" s="167"/>
      <c r="I42" s="167"/>
      <c r="J42" s="167"/>
      <c r="K42" s="167"/>
      <c r="L42" s="167"/>
      <c r="M42" s="167"/>
      <c r="N42" s="119"/>
    </row>
    <row r="43" spans="1:14" s="53" customFormat="1" ht="15.95" customHeight="1" x14ac:dyDescent="0.2">
      <c r="A43" s="233"/>
      <c r="B43" s="85" t="s">
        <v>109</v>
      </c>
      <c r="C43" s="85"/>
      <c r="D43" s="162">
        <v>2016</v>
      </c>
      <c r="E43" s="167">
        <f>SUM(F43:M43)</f>
        <v>158</v>
      </c>
      <c r="F43" s="167">
        <v>6</v>
      </c>
      <c r="G43" s="167">
        <v>8</v>
      </c>
      <c r="H43" s="167">
        <v>1</v>
      </c>
      <c r="I43" s="167">
        <v>70</v>
      </c>
      <c r="J43" s="167"/>
      <c r="K43" s="165" t="s">
        <v>51</v>
      </c>
      <c r="L43" s="167">
        <v>16</v>
      </c>
      <c r="M43" s="167">
        <v>57</v>
      </c>
      <c r="N43" s="119"/>
    </row>
    <row r="44" spans="1:14" s="53" customFormat="1" ht="15.95" customHeight="1" x14ac:dyDescent="0.2">
      <c r="A44" s="233"/>
      <c r="B44" s="85"/>
      <c r="C44" s="85"/>
      <c r="D44" s="162">
        <v>2017</v>
      </c>
      <c r="E44" s="167">
        <f>SUM(F44:M44)</f>
        <v>151</v>
      </c>
      <c r="F44" s="167">
        <v>2</v>
      </c>
      <c r="G44" s="167">
        <v>10</v>
      </c>
      <c r="H44" s="165" t="s">
        <v>51</v>
      </c>
      <c r="I44" s="167">
        <v>75</v>
      </c>
      <c r="J44" s="167"/>
      <c r="K44" s="165" t="s">
        <v>51</v>
      </c>
      <c r="L44" s="167">
        <v>4</v>
      </c>
      <c r="M44" s="167">
        <v>60</v>
      </c>
      <c r="N44" s="119"/>
    </row>
    <row r="45" spans="1:14" s="53" customFormat="1" ht="15.95" customHeight="1" x14ac:dyDescent="0.2">
      <c r="A45" s="233"/>
      <c r="B45" s="85"/>
      <c r="C45" s="85"/>
      <c r="D45" s="162">
        <v>2018</v>
      </c>
      <c r="E45" s="167">
        <f>SUM(F45:M45)</f>
        <v>129</v>
      </c>
      <c r="F45" s="167">
        <v>5</v>
      </c>
      <c r="G45" s="167">
        <v>8</v>
      </c>
      <c r="H45" s="165" t="s">
        <v>51</v>
      </c>
      <c r="I45" s="167">
        <v>52</v>
      </c>
      <c r="J45" s="167"/>
      <c r="K45" s="165" t="s">
        <v>51</v>
      </c>
      <c r="L45" s="167">
        <v>6</v>
      </c>
      <c r="M45" s="167">
        <v>58</v>
      </c>
      <c r="N45" s="119"/>
    </row>
    <row r="46" spans="1:14" s="53" customFormat="1" ht="5.0999999999999996" customHeight="1" x14ac:dyDescent="0.2">
      <c r="A46" s="233"/>
      <c r="B46" s="85"/>
      <c r="C46" s="85"/>
      <c r="D46" s="162"/>
      <c r="E46" s="167"/>
      <c r="F46" s="167"/>
      <c r="G46" s="167"/>
      <c r="H46" s="167"/>
      <c r="I46" s="167"/>
      <c r="J46" s="167"/>
      <c r="K46" s="167"/>
      <c r="L46" s="167"/>
      <c r="M46" s="167"/>
      <c r="N46" s="119"/>
    </row>
    <row r="47" spans="1:14" s="53" customFormat="1" ht="15.95" customHeight="1" x14ac:dyDescent="0.2">
      <c r="A47" s="233"/>
      <c r="B47" s="85" t="s">
        <v>110</v>
      </c>
      <c r="C47" s="85"/>
      <c r="D47" s="162">
        <v>2016</v>
      </c>
      <c r="E47" s="167">
        <f>SUM(F47:M47)</f>
        <v>128</v>
      </c>
      <c r="F47" s="167">
        <v>3</v>
      </c>
      <c r="G47" s="167">
        <v>18</v>
      </c>
      <c r="H47" s="165" t="s">
        <v>51</v>
      </c>
      <c r="I47" s="167">
        <v>68</v>
      </c>
      <c r="J47" s="167"/>
      <c r="K47" s="165" t="s">
        <v>51</v>
      </c>
      <c r="L47" s="167">
        <v>15</v>
      </c>
      <c r="M47" s="167">
        <v>24</v>
      </c>
      <c r="N47" s="119"/>
    </row>
    <row r="48" spans="1:14" s="53" customFormat="1" ht="15.95" customHeight="1" x14ac:dyDescent="0.2">
      <c r="A48" s="233"/>
      <c r="B48" s="85"/>
      <c r="C48" s="85"/>
      <c r="D48" s="162">
        <v>2017</v>
      </c>
      <c r="E48" s="167">
        <f>SUM(F48:M48)</f>
        <v>98</v>
      </c>
      <c r="F48" s="167">
        <v>6</v>
      </c>
      <c r="G48" s="167">
        <v>8</v>
      </c>
      <c r="H48" s="165" t="s">
        <v>51</v>
      </c>
      <c r="I48" s="167">
        <v>52</v>
      </c>
      <c r="J48" s="167"/>
      <c r="K48" s="165" t="s">
        <v>51</v>
      </c>
      <c r="L48" s="167">
        <v>11</v>
      </c>
      <c r="M48" s="167">
        <v>21</v>
      </c>
      <c r="N48" s="119"/>
    </row>
    <row r="49" spans="1:14" s="53" customFormat="1" ht="15.95" customHeight="1" x14ac:dyDescent="0.2">
      <c r="A49" s="233"/>
      <c r="B49" s="85"/>
      <c r="C49" s="85"/>
      <c r="D49" s="162">
        <v>2018</v>
      </c>
      <c r="E49" s="167">
        <f>SUM(F49:M49)</f>
        <v>78</v>
      </c>
      <c r="F49" s="167">
        <v>3</v>
      </c>
      <c r="G49" s="167">
        <v>12</v>
      </c>
      <c r="H49" s="167">
        <v>1</v>
      </c>
      <c r="I49" s="167">
        <v>30</v>
      </c>
      <c r="J49" s="167"/>
      <c r="K49" s="165" t="s">
        <v>51</v>
      </c>
      <c r="L49" s="167">
        <v>10</v>
      </c>
      <c r="M49" s="167">
        <v>22</v>
      </c>
      <c r="N49" s="119"/>
    </row>
    <row r="50" spans="1:14" s="53" customFormat="1" ht="8.1" customHeight="1" x14ac:dyDescent="0.2">
      <c r="A50" s="233"/>
      <c r="B50" s="85"/>
      <c r="C50" s="85"/>
      <c r="D50" s="162"/>
      <c r="E50" s="167"/>
      <c r="F50" s="167"/>
      <c r="G50" s="167"/>
      <c r="H50" s="167"/>
      <c r="I50" s="167"/>
      <c r="J50" s="167"/>
      <c r="K50" s="167"/>
      <c r="L50" s="167"/>
      <c r="M50" s="167"/>
      <c r="N50" s="119"/>
    </row>
    <row r="51" spans="1:14" s="53" customFormat="1" ht="15.95" customHeight="1" x14ac:dyDescent="0.2">
      <c r="A51" s="233"/>
      <c r="B51" s="85" t="s">
        <v>111</v>
      </c>
      <c r="C51" s="85"/>
      <c r="D51" s="162">
        <v>2016</v>
      </c>
      <c r="E51" s="167">
        <f>SUM(F51:M51)</f>
        <v>1304</v>
      </c>
      <c r="F51" s="167">
        <v>9</v>
      </c>
      <c r="G51" s="167">
        <v>19</v>
      </c>
      <c r="H51" s="167">
        <v>2</v>
      </c>
      <c r="I51" s="167">
        <v>819</v>
      </c>
      <c r="J51" s="167"/>
      <c r="K51" s="165" t="s">
        <v>51</v>
      </c>
      <c r="L51" s="167">
        <v>199</v>
      </c>
      <c r="M51" s="167">
        <v>256</v>
      </c>
      <c r="N51" s="119"/>
    </row>
    <row r="52" spans="1:14" s="53" customFormat="1" ht="15.95" customHeight="1" x14ac:dyDescent="0.2">
      <c r="A52" s="233"/>
      <c r="B52" s="85"/>
      <c r="C52" s="85"/>
      <c r="D52" s="162">
        <v>2017</v>
      </c>
      <c r="E52" s="167">
        <f>SUM(F52:M52)</f>
        <v>1139</v>
      </c>
      <c r="F52" s="167">
        <v>7</v>
      </c>
      <c r="G52" s="167">
        <v>42</v>
      </c>
      <c r="H52" s="167">
        <v>1</v>
      </c>
      <c r="I52" s="167">
        <v>630</v>
      </c>
      <c r="J52" s="167"/>
      <c r="K52" s="165" t="s">
        <v>51</v>
      </c>
      <c r="L52" s="167">
        <v>304</v>
      </c>
      <c r="M52" s="167">
        <v>155</v>
      </c>
      <c r="N52" s="119"/>
    </row>
    <row r="53" spans="1:14" s="53" customFormat="1" ht="15.95" customHeight="1" x14ac:dyDescent="0.2">
      <c r="A53" s="233"/>
      <c r="B53" s="85"/>
      <c r="C53" s="85"/>
      <c r="D53" s="162">
        <v>2018</v>
      </c>
      <c r="E53" s="167">
        <f>SUM(F53:M53)</f>
        <v>745</v>
      </c>
      <c r="F53" s="167">
        <v>13</v>
      </c>
      <c r="G53" s="167">
        <v>30</v>
      </c>
      <c r="H53" s="167">
        <v>1</v>
      </c>
      <c r="I53" s="167">
        <v>376</v>
      </c>
      <c r="J53" s="167"/>
      <c r="K53" s="165" t="s">
        <v>51</v>
      </c>
      <c r="L53" s="167">
        <v>197</v>
      </c>
      <c r="M53" s="167">
        <v>128</v>
      </c>
      <c r="N53" s="119"/>
    </row>
    <row r="54" spans="1:14" s="53" customFormat="1" ht="8.1" customHeight="1" x14ac:dyDescent="0.2">
      <c r="A54" s="233"/>
      <c r="B54" s="85"/>
      <c r="C54" s="85"/>
      <c r="D54" s="162"/>
      <c r="E54" s="167"/>
      <c r="F54" s="167"/>
      <c r="G54" s="167"/>
      <c r="H54" s="167"/>
      <c r="I54" s="167"/>
      <c r="J54" s="167"/>
      <c r="K54" s="167"/>
      <c r="L54" s="167"/>
      <c r="M54" s="167"/>
      <c r="N54" s="119"/>
    </row>
    <row r="55" spans="1:14" s="53" customFormat="1" ht="15.95" customHeight="1" x14ac:dyDescent="0.2">
      <c r="A55" s="233"/>
      <c r="B55" s="85" t="s">
        <v>112</v>
      </c>
      <c r="C55" s="85"/>
      <c r="D55" s="162">
        <v>2016</v>
      </c>
      <c r="E55" s="167">
        <f>SUM(F55:M55)</f>
        <v>67</v>
      </c>
      <c r="F55" s="167">
        <v>3</v>
      </c>
      <c r="G55" s="167">
        <v>10</v>
      </c>
      <c r="H55" s="165" t="s">
        <v>51</v>
      </c>
      <c r="I55" s="167">
        <v>14</v>
      </c>
      <c r="J55" s="167"/>
      <c r="K55" s="165" t="s">
        <v>51</v>
      </c>
      <c r="L55" s="167">
        <v>10</v>
      </c>
      <c r="M55" s="167">
        <v>30</v>
      </c>
    </row>
    <row r="56" spans="1:14" s="53" customFormat="1" ht="15.95" customHeight="1" x14ac:dyDescent="0.2">
      <c r="A56" s="233"/>
      <c r="B56" s="85"/>
      <c r="C56" s="85"/>
      <c r="D56" s="162">
        <v>2017</v>
      </c>
      <c r="E56" s="167">
        <f>SUM(F56:M56)</f>
        <v>65</v>
      </c>
      <c r="F56" s="167" t="s">
        <v>51</v>
      </c>
      <c r="G56" s="167">
        <v>15</v>
      </c>
      <c r="H56" s="165" t="s">
        <v>51</v>
      </c>
      <c r="I56" s="167">
        <v>16</v>
      </c>
      <c r="J56" s="167"/>
      <c r="K56" s="165" t="s">
        <v>51</v>
      </c>
      <c r="L56" s="167">
        <v>9</v>
      </c>
      <c r="M56" s="167">
        <v>25</v>
      </c>
    </row>
    <row r="57" spans="1:14" s="53" customFormat="1" ht="15.95" customHeight="1" x14ac:dyDescent="0.2">
      <c r="A57" s="233"/>
      <c r="B57" s="85"/>
      <c r="C57" s="85"/>
      <c r="D57" s="162">
        <v>2018</v>
      </c>
      <c r="E57" s="167">
        <f>SUM(F57:M57)</f>
        <v>56</v>
      </c>
      <c r="F57" s="165">
        <v>1</v>
      </c>
      <c r="G57" s="167">
        <v>7</v>
      </c>
      <c r="H57" s="165" t="s">
        <v>51</v>
      </c>
      <c r="I57" s="167">
        <v>12</v>
      </c>
      <c r="J57" s="167"/>
      <c r="K57" s="167">
        <v>2</v>
      </c>
      <c r="L57" s="167">
        <v>5</v>
      </c>
      <c r="M57" s="167">
        <v>29</v>
      </c>
    </row>
    <row r="58" spans="1:14" s="53" customFormat="1" ht="8.1" customHeight="1" x14ac:dyDescent="0.2">
      <c r="A58" s="233"/>
      <c r="B58" s="85"/>
      <c r="C58" s="85"/>
      <c r="D58" s="162"/>
      <c r="E58" s="167"/>
      <c r="F58" s="167"/>
      <c r="G58" s="167"/>
      <c r="H58" s="167"/>
      <c r="I58" s="167"/>
      <c r="J58" s="167"/>
      <c r="K58" s="167"/>
      <c r="L58" s="167"/>
      <c r="M58" s="167"/>
    </row>
    <row r="59" spans="1:14" s="53" customFormat="1" ht="15.95" customHeight="1" x14ac:dyDescent="0.2">
      <c r="A59" s="233"/>
      <c r="B59" s="85" t="s">
        <v>113</v>
      </c>
      <c r="C59" s="85"/>
      <c r="D59" s="162">
        <v>2016</v>
      </c>
      <c r="E59" s="167">
        <f>SUM(F59:M59)</f>
        <v>258</v>
      </c>
      <c r="F59" s="167">
        <v>5</v>
      </c>
      <c r="G59" s="167">
        <v>18</v>
      </c>
      <c r="H59" s="165" t="s">
        <v>51</v>
      </c>
      <c r="I59" s="167">
        <v>131</v>
      </c>
      <c r="J59" s="167"/>
      <c r="K59" s="165" t="s">
        <v>51</v>
      </c>
      <c r="L59" s="167">
        <v>24</v>
      </c>
      <c r="M59" s="167">
        <v>80</v>
      </c>
    </row>
    <row r="60" spans="1:14" s="53" customFormat="1" ht="15.95" customHeight="1" x14ac:dyDescent="0.2">
      <c r="A60" s="233"/>
      <c r="B60" s="85"/>
      <c r="C60" s="85"/>
      <c r="D60" s="162">
        <v>2017</v>
      </c>
      <c r="E60" s="167">
        <f>SUM(F60:M60)</f>
        <v>184</v>
      </c>
      <c r="F60" s="167">
        <v>7</v>
      </c>
      <c r="G60" s="167">
        <v>14</v>
      </c>
      <c r="H60" s="167">
        <v>2</v>
      </c>
      <c r="I60" s="167">
        <v>80</v>
      </c>
      <c r="J60" s="167"/>
      <c r="K60" s="165" t="s">
        <v>51</v>
      </c>
      <c r="L60" s="167">
        <v>27</v>
      </c>
      <c r="M60" s="167">
        <v>54</v>
      </c>
    </row>
    <row r="61" spans="1:14" s="53" customFormat="1" ht="15.95" customHeight="1" x14ac:dyDescent="0.2">
      <c r="A61" s="233"/>
      <c r="B61" s="85"/>
      <c r="C61" s="85"/>
      <c r="D61" s="162">
        <v>2018</v>
      </c>
      <c r="E61" s="167">
        <f>SUM(F61:M61)</f>
        <v>169</v>
      </c>
      <c r="F61" s="167">
        <v>3</v>
      </c>
      <c r="G61" s="167">
        <v>26</v>
      </c>
      <c r="H61" s="167">
        <v>1</v>
      </c>
      <c r="I61" s="167">
        <v>64</v>
      </c>
      <c r="J61" s="167"/>
      <c r="K61" s="165" t="s">
        <v>51</v>
      </c>
      <c r="L61" s="167">
        <v>21</v>
      </c>
      <c r="M61" s="167">
        <v>54</v>
      </c>
    </row>
    <row r="62" spans="1:14" s="53" customFormat="1" ht="8.1" customHeight="1" x14ac:dyDescent="0.2">
      <c r="A62" s="233"/>
      <c r="B62" s="85"/>
      <c r="C62" s="85"/>
      <c r="D62" s="162"/>
      <c r="E62" s="167"/>
      <c r="F62" s="167"/>
      <c r="G62" s="167"/>
      <c r="H62" s="167"/>
      <c r="I62" s="167"/>
      <c r="J62" s="167"/>
      <c r="K62" s="167"/>
      <c r="L62" s="167"/>
      <c r="M62" s="167"/>
    </row>
    <row r="63" spans="1:14" s="53" customFormat="1" ht="15.95" customHeight="1" x14ac:dyDescent="0.2">
      <c r="A63" s="233"/>
      <c r="B63" s="85" t="s">
        <v>114</v>
      </c>
      <c r="C63" s="85"/>
      <c r="D63" s="162">
        <v>2016</v>
      </c>
      <c r="E63" s="167">
        <f>SUM(F63:M63)</f>
        <v>433</v>
      </c>
      <c r="F63" s="167">
        <v>3</v>
      </c>
      <c r="G63" s="167">
        <v>13</v>
      </c>
      <c r="H63" s="165" t="s">
        <v>51</v>
      </c>
      <c r="I63" s="167">
        <v>312</v>
      </c>
      <c r="J63" s="167"/>
      <c r="K63" s="165" t="s">
        <v>51</v>
      </c>
      <c r="L63" s="167">
        <v>50</v>
      </c>
      <c r="M63" s="167">
        <v>55</v>
      </c>
    </row>
    <row r="64" spans="1:14" s="53" customFormat="1" ht="15.95" customHeight="1" x14ac:dyDescent="0.2">
      <c r="A64" s="233"/>
      <c r="B64" s="85"/>
      <c r="C64" s="85"/>
      <c r="D64" s="162">
        <v>2017</v>
      </c>
      <c r="E64" s="167">
        <f>SUM(F64:M64)</f>
        <v>448</v>
      </c>
      <c r="F64" s="167">
        <v>6</v>
      </c>
      <c r="G64" s="167">
        <v>20</v>
      </c>
      <c r="H64" s="167">
        <v>2</v>
      </c>
      <c r="I64" s="167">
        <v>295</v>
      </c>
      <c r="J64" s="167"/>
      <c r="K64" s="167">
        <v>1</v>
      </c>
      <c r="L64" s="167">
        <v>77</v>
      </c>
      <c r="M64" s="167">
        <v>47</v>
      </c>
    </row>
    <row r="65" spans="1:14" s="53" customFormat="1" ht="15.95" customHeight="1" x14ac:dyDescent="0.2">
      <c r="A65" s="233"/>
      <c r="B65" s="85"/>
      <c r="C65" s="85"/>
      <c r="D65" s="162">
        <v>2018</v>
      </c>
      <c r="E65" s="167">
        <f>SUM(F65:M65)</f>
        <v>375</v>
      </c>
      <c r="F65" s="167">
        <v>6</v>
      </c>
      <c r="G65" s="167">
        <v>12</v>
      </c>
      <c r="H65" s="167">
        <v>1</v>
      </c>
      <c r="I65" s="167">
        <v>194</v>
      </c>
      <c r="J65" s="167"/>
      <c r="K65" s="165" t="s">
        <v>51</v>
      </c>
      <c r="L65" s="167">
        <v>110</v>
      </c>
      <c r="M65" s="167">
        <v>52</v>
      </c>
    </row>
    <row r="66" spans="1:14" s="53" customFormat="1" ht="8.1" customHeight="1" x14ac:dyDescent="0.2">
      <c r="A66" s="233"/>
      <c r="B66" s="85"/>
      <c r="C66" s="85"/>
      <c r="D66" s="162"/>
      <c r="E66" s="167"/>
      <c r="F66" s="167"/>
      <c r="G66" s="167"/>
      <c r="H66" s="167"/>
      <c r="I66" s="167"/>
      <c r="J66" s="167"/>
      <c r="K66" s="167"/>
      <c r="L66" s="167"/>
      <c r="M66" s="167"/>
    </row>
    <row r="67" spans="1:14" s="53" customFormat="1" ht="15.95" customHeight="1" x14ac:dyDescent="0.2">
      <c r="A67" s="233"/>
      <c r="B67" s="85" t="s">
        <v>115</v>
      </c>
      <c r="C67" s="85"/>
      <c r="D67" s="162">
        <v>2016</v>
      </c>
      <c r="E67" s="167">
        <f>SUM(F67:M67)</f>
        <v>306</v>
      </c>
      <c r="F67" s="167">
        <v>4</v>
      </c>
      <c r="G67" s="167">
        <v>20</v>
      </c>
      <c r="H67" s="167">
        <v>1</v>
      </c>
      <c r="I67" s="167">
        <v>190</v>
      </c>
      <c r="J67" s="167"/>
      <c r="K67" s="165" t="s">
        <v>51</v>
      </c>
      <c r="L67" s="167">
        <v>47</v>
      </c>
      <c r="M67" s="167">
        <v>44</v>
      </c>
    </row>
    <row r="68" spans="1:14" s="53" customFormat="1" ht="15.95" customHeight="1" x14ac:dyDescent="0.2">
      <c r="A68" s="233"/>
      <c r="B68" s="85"/>
      <c r="C68" s="85"/>
      <c r="D68" s="162">
        <v>2017</v>
      </c>
      <c r="E68" s="167">
        <f>SUM(F68:M68)</f>
        <v>287</v>
      </c>
      <c r="F68" s="167">
        <v>3</v>
      </c>
      <c r="G68" s="167">
        <v>21</v>
      </c>
      <c r="H68" s="165" t="s">
        <v>51</v>
      </c>
      <c r="I68" s="167">
        <v>165</v>
      </c>
      <c r="J68" s="167"/>
      <c r="K68" s="165" t="s">
        <v>51</v>
      </c>
      <c r="L68" s="167">
        <v>38</v>
      </c>
      <c r="M68" s="167">
        <v>60</v>
      </c>
    </row>
    <row r="69" spans="1:14" s="53" customFormat="1" ht="15.95" customHeight="1" x14ac:dyDescent="0.2">
      <c r="A69" s="233"/>
      <c r="B69" s="85"/>
      <c r="C69" s="85"/>
      <c r="D69" s="162">
        <v>2018</v>
      </c>
      <c r="E69" s="167">
        <f>SUM(F69:M69)</f>
        <v>219</v>
      </c>
      <c r="F69" s="167">
        <v>2</v>
      </c>
      <c r="G69" s="167">
        <v>15</v>
      </c>
      <c r="H69" s="165" t="s">
        <v>51</v>
      </c>
      <c r="I69" s="167">
        <v>116</v>
      </c>
      <c r="J69" s="167"/>
      <c r="K69" s="165" t="s">
        <v>51</v>
      </c>
      <c r="L69" s="167">
        <v>27</v>
      </c>
      <c r="M69" s="167">
        <v>59</v>
      </c>
    </row>
    <row r="70" spans="1:14" s="53" customFormat="1" ht="8.1" customHeight="1" x14ac:dyDescent="0.2">
      <c r="A70" s="233"/>
      <c r="B70" s="85"/>
      <c r="C70" s="85"/>
      <c r="D70" s="162"/>
      <c r="E70" s="167"/>
      <c r="F70" s="167"/>
      <c r="G70" s="167"/>
      <c r="H70" s="167"/>
      <c r="I70" s="167"/>
      <c r="J70" s="167"/>
      <c r="K70" s="167"/>
      <c r="L70" s="167"/>
      <c r="M70" s="167"/>
    </row>
    <row r="71" spans="1:14" s="53" customFormat="1" ht="15.95" customHeight="1" x14ac:dyDescent="0.2">
      <c r="A71" s="233"/>
      <c r="B71" s="85" t="s">
        <v>116</v>
      </c>
      <c r="C71" s="85"/>
      <c r="D71" s="162">
        <v>2016</v>
      </c>
      <c r="E71" s="167">
        <f>SUM(F71:M71)</f>
        <v>280</v>
      </c>
      <c r="F71" s="167">
        <v>8</v>
      </c>
      <c r="G71" s="167">
        <v>7</v>
      </c>
      <c r="H71" s="167">
        <v>1</v>
      </c>
      <c r="I71" s="167">
        <v>180</v>
      </c>
      <c r="J71" s="167"/>
      <c r="K71" s="165" t="s">
        <v>51</v>
      </c>
      <c r="L71" s="167">
        <v>36</v>
      </c>
      <c r="M71" s="167">
        <v>48</v>
      </c>
    </row>
    <row r="72" spans="1:14" s="53" customFormat="1" ht="15.95" customHeight="1" x14ac:dyDescent="0.2">
      <c r="A72" s="233"/>
      <c r="B72" s="85"/>
      <c r="C72" s="85"/>
      <c r="D72" s="162">
        <v>2017</v>
      </c>
      <c r="E72" s="167">
        <f>SUM(F72:M72)</f>
        <v>220</v>
      </c>
      <c r="F72" s="167">
        <v>6</v>
      </c>
      <c r="G72" s="167">
        <v>12</v>
      </c>
      <c r="H72" s="167">
        <v>1</v>
      </c>
      <c r="I72" s="167">
        <v>128</v>
      </c>
      <c r="J72" s="167"/>
      <c r="K72" s="167">
        <v>1</v>
      </c>
      <c r="L72" s="167">
        <v>23</v>
      </c>
      <c r="M72" s="167">
        <v>49</v>
      </c>
    </row>
    <row r="73" spans="1:14" s="53" customFormat="1" ht="15.95" customHeight="1" x14ac:dyDescent="0.2">
      <c r="A73" s="233"/>
      <c r="B73" s="85"/>
      <c r="C73" s="85"/>
      <c r="D73" s="162">
        <v>2018</v>
      </c>
      <c r="E73" s="167">
        <f>SUM(F73:M73)</f>
        <v>138</v>
      </c>
      <c r="F73" s="167">
        <v>4</v>
      </c>
      <c r="G73" s="167">
        <v>8</v>
      </c>
      <c r="H73" s="165" t="s">
        <v>51</v>
      </c>
      <c r="I73" s="167">
        <v>74</v>
      </c>
      <c r="J73" s="167"/>
      <c r="K73" s="167">
        <v>1</v>
      </c>
      <c r="L73" s="167">
        <v>23</v>
      </c>
      <c r="M73" s="167">
        <v>28</v>
      </c>
    </row>
    <row r="74" spans="1:14" s="53" customFormat="1" ht="8.1" customHeight="1" x14ac:dyDescent="0.2">
      <c r="A74" s="233"/>
      <c r="B74" s="85"/>
      <c r="C74" s="85"/>
      <c r="D74" s="162"/>
      <c r="E74" s="167"/>
      <c r="F74" s="167"/>
      <c r="G74" s="167"/>
      <c r="H74" s="167"/>
      <c r="I74" s="167"/>
      <c r="J74" s="167"/>
      <c r="K74" s="167"/>
      <c r="L74" s="167"/>
      <c r="M74" s="167"/>
    </row>
    <row r="75" spans="1:14" s="53" customFormat="1" ht="15.95" customHeight="1" x14ac:dyDescent="0.2">
      <c r="A75" s="233"/>
      <c r="B75" s="85" t="s">
        <v>117</v>
      </c>
      <c r="C75" s="85"/>
      <c r="D75" s="162">
        <v>2016</v>
      </c>
      <c r="E75" s="167">
        <f>SUM(F75:M75)</f>
        <v>370</v>
      </c>
      <c r="F75" s="167">
        <v>6</v>
      </c>
      <c r="G75" s="167">
        <v>27</v>
      </c>
      <c r="H75" s="165" t="s">
        <v>51</v>
      </c>
      <c r="I75" s="167">
        <v>231</v>
      </c>
      <c r="J75" s="167"/>
      <c r="K75" s="165" t="s">
        <v>51</v>
      </c>
      <c r="L75" s="167">
        <v>52</v>
      </c>
      <c r="M75" s="167">
        <v>54</v>
      </c>
    </row>
    <row r="76" spans="1:14" s="53" customFormat="1" ht="15.95" customHeight="1" x14ac:dyDescent="0.2">
      <c r="A76" s="233"/>
      <c r="B76" s="85"/>
      <c r="C76" s="85"/>
      <c r="D76" s="162">
        <v>2017</v>
      </c>
      <c r="E76" s="167">
        <f>SUM(F76:M76)</f>
        <v>278</v>
      </c>
      <c r="F76" s="167">
        <v>6</v>
      </c>
      <c r="G76" s="167">
        <v>17</v>
      </c>
      <c r="H76" s="167">
        <v>1</v>
      </c>
      <c r="I76" s="167">
        <v>149</v>
      </c>
      <c r="J76" s="167"/>
      <c r="K76" s="165" t="s">
        <v>51</v>
      </c>
      <c r="L76" s="167">
        <v>42</v>
      </c>
      <c r="M76" s="167">
        <v>63</v>
      </c>
    </row>
    <row r="77" spans="1:14" s="53" customFormat="1" ht="15.95" customHeight="1" x14ac:dyDescent="0.2">
      <c r="A77" s="233"/>
      <c r="B77" s="85"/>
      <c r="C77" s="85"/>
      <c r="D77" s="162">
        <v>2018</v>
      </c>
      <c r="E77" s="167">
        <f>SUM(F77:M77)</f>
        <v>245</v>
      </c>
      <c r="F77" s="167">
        <v>5</v>
      </c>
      <c r="G77" s="167">
        <v>20</v>
      </c>
      <c r="H77" s="167">
        <v>4</v>
      </c>
      <c r="I77" s="167">
        <v>120</v>
      </c>
      <c r="J77" s="167"/>
      <c r="K77" s="165" t="s">
        <v>51</v>
      </c>
      <c r="L77" s="167">
        <v>40</v>
      </c>
      <c r="M77" s="167">
        <v>56</v>
      </c>
    </row>
    <row r="78" spans="1:14" s="53" customFormat="1" ht="8.1" customHeight="1" thickBot="1" x14ac:dyDescent="0.25">
      <c r="A78" s="219"/>
      <c r="B78" s="220"/>
      <c r="C78" s="220"/>
      <c r="D78" s="220"/>
      <c r="E78" s="221"/>
      <c r="F78" s="222"/>
      <c r="G78" s="222"/>
      <c r="H78" s="222"/>
      <c r="I78" s="222"/>
      <c r="J78" s="222"/>
      <c r="K78" s="222"/>
      <c r="L78" s="222"/>
      <c r="M78" s="223"/>
      <c r="N78" s="219"/>
    </row>
    <row r="79" spans="1:14" s="53" customFormat="1" ht="12.75" x14ac:dyDescent="0.2">
      <c r="B79" s="118"/>
      <c r="C79" s="118"/>
      <c r="D79" s="118"/>
      <c r="E79" s="66"/>
      <c r="F79" s="117"/>
      <c r="G79" s="117"/>
      <c r="H79" s="117"/>
      <c r="I79" s="117"/>
      <c r="J79" s="117"/>
      <c r="K79" s="117"/>
      <c r="L79" s="117"/>
      <c r="M79" s="213"/>
      <c r="N79" s="8" t="s">
        <v>101</v>
      </c>
    </row>
    <row r="80" spans="1:14" s="53" customFormat="1" ht="12.75" x14ac:dyDescent="0.2">
      <c r="B80" s="118"/>
      <c r="C80" s="118"/>
      <c r="D80" s="118"/>
      <c r="E80" s="66"/>
      <c r="F80" s="117"/>
      <c r="G80" s="117"/>
      <c r="H80" s="117"/>
      <c r="I80" s="117"/>
      <c r="J80" s="117"/>
      <c r="K80" s="117"/>
      <c r="L80" s="117"/>
      <c r="M80" s="213"/>
      <c r="N80" s="41" t="s">
        <v>1</v>
      </c>
    </row>
    <row r="81" spans="2:13" s="53" customFormat="1" ht="12.95" customHeight="1" x14ac:dyDescent="0.2">
      <c r="B81" s="118"/>
      <c r="C81" s="118"/>
      <c r="D81" s="118"/>
      <c r="E81" s="66"/>
      <c r="F81" s="117"/>
      <c r="G81" s="117"/>
      <c r="H81" s="117"/>
      <c r="I81" s="117"/>
      <c r="J81" s="117"/>
      <c r="K81" s="117"/>
      <c r="L81" s="117"/>
      <c r="M81" s="213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showGridLines="0" tabSelected="1" topLeftCell="A2" zoomScale="90" zoomScaleNormal="90" zoomScaleSheetLayoutView="100" workbookViewId="0">
      <selection activeCell="J23" sqref="J23"/>
    </sheetView>
  </sheetViews>
  <sheetFormatPr defaultRowHeight="15" x14ac:dyDescent="0.25"/>
  <cols>
    <col min="1" max="1" width="1.85546875" style="2" customWidth="1"/>
    <col min="2" max="2" width="9.8554687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203</v>
      </c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119" customFormat="1" ht="24.95" customHeight="1" x14ac:dyDescent="0.2">
      <c r="A15" s="233"/>
      <c r="B15" s="127" t="s">
        <v>118</v>
      </c>
      <c r="C15" s="127"/>
      <c r="D15" s="65">
        <v>2016</v>
      </c>
      <c r="E15" s="166">
        <f>SUM(F15:M15)</f>
        <v>407</v>
      </c>
      <c r="F15" s="166">
        <f>SUM(F19,F23,F27,F31,F35,F39,F43)</f>
        <v>11</v>
      </c>
      <c r="G15" s="166">
        <f t="shared" ref="G15:M15" si="0">SUM(G19,G23,G27,G31,G35,G39,G43)</f>
        <v>81</v>
      </c>
      <c r="H15" s="143" t="s">
        <v>51</v>
      </c>
      <c r="I15" s="166">
        <f t="shared" ref="I15" si="1">SUM(I19,I23,I27,I31,I35,I39,I43)</f>
        <v>88</v>
      </c>
      <c r="J15" s="166"/>
      <c r="K15" s="166">
        <f t="shared" ref="K15:L15" si="2">SUM(K19,K23,K27,K31,K35,K39,K43)</f>
        <v>1</v>
      </c>
      <c r="L15" s="166">
        <f t="shared" si="2"/>
        <v>59</v>
      </c>
      <c r="M15" s="166">
        <f t="shared" si="0"/>
        <v>167</v>
      </c>
    </row>
    <row r="16" spans="1:14" s="119" customFormat="1" ht="24.95" customHeight="1" x14ac:dyDescent="0.2">
      <c r="A16" s="233"/>
      <c r="B16" s="127"/>
      <c r="C16" s="127"/>
      <c r="D16" s="65">
        <v>2017</v>
      </c>
      <c r="E16" s="166">
        <f>SUM(F16:M16)</f>
        <v>354</v>
      </c>
      <c r="F16" s="166">
        <f t="shared" ref="F16:M17" si="3">SUM(F20,F24,F28,F32,F36,F40,F44)</f>
        <v>5</v>
      </c>
      <c r="G16" s="166">
        <f t="shared" si="3"/>
        <v>64</v>
      </c>
      <c r="H16" s="143" t="s">
        <v>51</v>
      </c>
      <c r="I16" s="166">
        <f t="shared" ref="I16" si="4">SUM(I20,I24,I28,I32,I36,I40,I44)</f>
        <v>79</v>
      </c>
      <c r="J16" s="166"/>
      <c r="K16" s="143" t="s">
        <v>51</v>
      </c>
      <c r="L16" s="166">
        <f t="shared" ref="L16" si="5">SUM(L20,L24,L28,L32,L36,L40,L44)</f>
        <v>76</v>
      </c>
      <c r="M16" s="166">
        <f t="shared" si="3"/>
        <v>130</v>
      </c>
    </row>
    <row r="17" spans="1:13" s="119" customFormat="1" ht="24.95" customHeight="1" x14ac:dyDescent="0.2">
      <c r="A17" s="233"/>
      <c r="B17" s="127"/>
      <c r="C17" s="127"/>
      <c r="D17" s="65">
        <v>2018</v>
      </c>
      <c r="E17" s="166">
        <f>SUM(F17:M17)</f>
        <v>291</v>
      </c>
      <c r="F17" s="166">
        <f t="shared" si="3"/>
        <v>2</v>
      </c>
      <c r="G17" s="166">
        <f t="shared" si="3"/>
        <v>63</v>
      </c>
      <c r="H17" s="166">
        <f t="shared" ref="H17:I17" si="6">SUM(H21,H25,H29,H33,H37,H41,H45)</f>
        <v>1</v>
      </c>
      <c r="I17" s="166">
        <f t="shared" si="6"/>
        <v>58</v>
      </c>
      <c r="J17" s="166"/>
      <c r="K17" s="166">
        <f t="shared" ref="K17:L17" si="7">SUM(K21,K25,K29,K33,K37,K41,K45)</f>
        <v>1</v>
      </c>
      <c r="L17" s="166">
        <f t="shared" si="7"/>
        <v>42</v>
      </c>
      <c r="M17" s="166">
        <f t="shared" si="3"/>
        <v>124</v>
      </c>
    </row>
    <row r="18" spans="1:13" s="119" customFormat="1" ht="24.95" customHeight="1" x14ac:dyDescent="0.2">
      <c r="A18" s="233"/>
      <c r="B18" s="127"/>
      <c r="C18" s="127"/>
      <c r="D18" s="65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1:13" s="119" customFormat="1" ht="24.95" customHeight="1" x14ac:dyDescent="0.2">
      <c r="A19" s="233"/>
      <c r="B19" s="85" t="s">
        <v>119</v>
      </c>
      <c r="C19" s="85"/>
      <c r="D19" s="162">
        <v>2016</v>
      </c>
      <c r="E19" s="167">
        <f>SUM(F19:M19)</f>
        <v>87</v>
      </c>
      <c r="F19" s="167">
        <v>1</v>
      </c>
      <c r="G19" s="167">
        <v>13</v>
      </c>
      <c r="H19" s="167"/>
      <c r="I19" s="167">
        <v>16</v>
      </c>
      <c r="J19" s="167"/>
      <c r="K19" s="165" t="s">
        <v>51</v>
      </c>
      <c r="L19" s="167">
        <v>9</v>
      </c>
      <c r="M19" s="167">
        <v>48</v>
      </c>
    </row>
    <row r="20" spans="1:13" s="119" customFormat="1" ht="24.95" customHeight="1" x14ac:dyDescent="0.2">
      <c r="A20" s="233"/>
      <c r="B20" s="85"/>
      <c r="C20" s="85"/>
      <c r="D20" s="162">
        <v>2017</v>
      </c>
      <c r="E20" s="167">
        <f>SUM(F20:M20)</f>
        <v>88</v>
      </c>
      <c r="F20" s="167">
        <v>3</v>
      </c>
      <c r="G20" s="167">
        <v>9</v>
      </c>
      <c r="H20" s="167"/>
      <c r="I20" s="167">
        <v>23</v>
      </c>
      <c r="J20" s="167"/>
      <c r="K20" s="165" t="s">
        <v>51</v>
      </c>
      <c r="L20" s="167">
        <v>18</v>
      </c>
      <c r="M20" s="167">
        <v>35</v>
      </c>
    </row>
    <row r="21" spans="1:13" s="119" customFormat="1" ht="24.95" customHeight="1" x14ac:dyDescent="0.2">
      <c r="A21" s="233"/>
      <c r="B21" s="85"/>
      <c r="C21" s="85"/>
      <c r="D21" s="162">
        <v>2018</v>
      </c>
      <c r="E21" s="167">
        <f>SUM(F21:M21)</f>
        <v>65</v>
      </c>
      <c r="F21" s="167" t="s">
        <v>51</v>
      </c>
      <c r="G21" s="167">
        <v>12</v>
      </c>
      <c r="H21" s="167"/>
      <c r="I21" s="167">
        <v>13</v>
      </c>
      <c r="J21" s="167"/>
      <c r="K21" s="165" t="s">
        <v>51</v>
      </c>
      <c r="L21" s="167">
        <v>10</v>
      </c>
      <c r="M21" s="167">
        <v>30</v>
      </c>
    </row>
    <row r="22" spans="1:13" s="119" customFormat="1" ht="24.95" customHeight="1" x14ac:dyDescent="0.2">
      <c r="A22" s="233"/>
      <c r="B22" s="85"/>
      <c r="C22" s="85"/>
      <c r="D22" s="162"/>
      <c r="E22" s="167"/>
      <c r="F22" s="167"/>
      <c r="G22" s="167"/>
      <c r="H22" s="167"/>
      <c r="I22" s="167"/>
      <c r="J22" s="167"/>
      <c r="K22" s="167"/>
      <c r="L22" s="167"/>
      <c r="M22" s="167"/>
    </row>
    <row r="23" spans="1:13" s="119" customFormat="1" ht="24.95" customHeight="1" x14ac:dyDescent="0.2">
      <c r="A23" s="233"/>
      <c r="B23" s="85" t="s">
        <v>120</v>
      </c>
      <c r="C23" s="85"/>
      <c r="D23" s="162">
        <v>2016</v>
      </c>
      <c r="E23" s="167">
        <f>SUM(F23:M23)</f>
        <v>83</v>
      </c>
      <c r="F23" s="167">
        <v>3</v>
      </c>
      <c r="G23" s="167">
        <v>12</v>
      </c>
      <c r="H23" s="165" t="s">
        <v>51</v>
      </c>
      <c r="I23" s="167">
        <v>14</v>
      </c>
      <c r="J23" s="167"/>
      <c r="K23" s="165" t="s">
        <v>51</v>
      </c>
      <c r="L23" s="167">
        <v>15</v>
      </c>
      <c r="M23" s="167">
        <v>39</v>
      </c>
    </row>
    <row r="24" spans="1:13" s="119" customFormat="1" ht="24.95" customHeight="1" x14ac:dyDescent="0.2">
      <c r="A24" s="233"/>
      <c r="B24" s="85"/>
      <c r="C24" s="85"/>
      <c r="D24" s="162">
        <v>2017</v>
      </c>
      <c r="E24" s="167">
        <f>SUM(F24:M24)</f>
        <v>56</v>
      </c>
      <c r="F24" s="167" t="s">
        <v>51</v>
      </c>
      <c r="G24" s="167">
        <v>10</v>
      </c>
      <c r="H24" s="165" t="s">
        <v>51</v>
      </c>
      <c r="I24" s="167">
        <v>14</v>
      </c>
      <c r="J24" s="167"/>
      <c r="K24" s="165" t="s">
        <v>51</v>
      </c>
      <c r="L24" s="167">
        <v>5</v>
      </c>
      <c r="M24" s="167">
        <v>27</v>
      </c>
    </row>
    <row r="25" spans="1:13" s="119" customFormat="1" ht="24.95" customHeight="1" x14ac:dyDescent="0.2">
      <c r="A25" s="233"/>
      <c r="B25" s="85"/>
      <c r="C25" s="85"/>
      <c r="D25" s="162">
        <v>2018</v>
      </c>
      <c r="E25" s="167">
        <f>SUM(F25:M25)</f>
        <v>41</v>
      </c>
      <c r="F25" s="165" t="s">
        <v>51</v>
      </c>
      <c r="G25" s="167">
        <v>5</v>
      </c>
      <c r="H25" s="165" t="s">
        <v>51</v>
      </c>
      <c r="I25" s="167">
        <v>5</v>
      </c>
      <c r="J25" s="167"/>
      <c r="K25" s="165" t="s">
        <v>51</v>
      </c>
      <c r="L25" s="167">
        <v>4</v>
      </c>
      <c r="M25" s="167">
        <v>27</v>
      </c>
    </row>
    <row r="26" spans="1:13" s="119" customFormat="1" ht="24.95" customHeight="1" x14ac:dyDescent="0.2">
      <c r="A26" s="233"/>
      <c r="B26" s="85"/>
      <c r="C26" s="85"/>
      <c r="D26" s="162"/>
      <c r="E26" s="167"/>
      <c r="F26" s="165"/>
      <c r="G26" s="167"/>
      <c r="H26" s="167"/>
      <c r="I26" s="167"/>
      <c r="J26" s="167"/>
      <c r="K26" s="167"/>
      <c r="L26" s="167"/>
      <c r="M26" s="167"/>
    </row>
    <row r="27" spans="1:13" s="119" customFormat="1" ht="24.95" customHeight="1" x14ac:dyDescent="0.2">
      <c r="A27" s="233"/>
      <c r="B27" s="85" t="s">
        <v>121</v>
      </c>
      <c r="C27" s="85"/>
      <c r="D27" s="162">
        <v>2016</v>
      </c>
      <c r="E27" s="167">
        <f>SUM(F27:M27)</f>
        <v>26</v>
      </c>
      <c r="F27" s="167" t="s">
        <v>51</v>
      </c>
      <c r="G27" s="167">
        <v>5</v>
      </c>
      <c r="H27" s="165" t="s">
        <v>51</v>
      </c>
      <c r="I27" s="167">
        <v>7</v>
      </c>
      <c r="J27" s="167"/>
      <c r="K27" s="165" t="s">
        <v>51</v>
      </c>
      <c r="L27" s="167">
        <v>2</v>
      </c>
      <c r="M27" s="167">
        <v>12</v>
      </c>
    </row>
    <row r="28" spans="1:13" s="119" customFormat="1" ht="24.95" customHeight="1" x14ac:dyDescent="0.2">
      <c r="A28" s="233"/>
      <c r="B28" s="85"/>
      <c r="C28" s="85"/>
      <c r="D28" s="162">
        <v>2017</v>
      </c>
      <c r="E28" s="167">
        <f>SUM(F28:M28)</f>
        <v>20</v>
      </c>
      <c r="F28" s="167" t="s">
        <v>51</v>
      </c>
      <c r="G28" s="167">
        <v>5</v>
      </c>
      <c r="H28" s="165" t="s">
        <v>51</v>
      </c>
      <c r="I28" s="167">
        <v>2</v>
      </c>
      <c r="J28" s="167"/>
      <c r="K28" s="165" t="s">
        <v>51</v>
      </c>
      <c r="L28" s="167">
        <v>2</v>
      </c>
      <c r="M28" s="167">
        <v>11</v>
      </c>
    </row>
    <row r="29" spans="1:13" s="119" customFormat="1" ht="24.95" customHeight="1" x14ac:dyDescent="0.2">
      <c r="A29" s="233"/>
      <c r="B29" s="85"/>
      <c r="C29" s="85"/>
      <c r="D29" s="162">
        <v>2018</v>
      </c>
      <c r="E29" s="167">
        <f>SUM(F29:M29)</f>
        <v>26</v>
      </c>
      <c r="F29" s="165" t="s">
        <v>51</v>
      </c>
      <c r="G29" s="167">
        <v>6</v>
      </c>
      <c r="H29" s="165" t="s">
        <v>51</v>
      </c>
      <c r="I29" s="167">
        <v>4</v>
      </c>
      <c r="J29" s="167"/>
      <c r="K29" s="167">
        <v>1</v>
      </c>
      <c r="L29" s="167">
        <v>5</v>
      </c>
      <c r="M29" s="167">
        <v>10</v>
      </c>
    </row>
    <row r="30" spans="1:13" s="119" customFormat="1" ht="24.95" customHeight="1" x14ac:dyDescent="0.2">
      <c r="A30" s="233"/>
      <c r="B30" s="85"/>
      <c r="C30" s="85"/>
      <c r="D30" s="162"/>
      <c r="E30" s="167"/>
      <c r="F30" s="165"/>
      <c r="G30" s="167"/>
      <c r="H30" s="167"/>
      <c r="I30" s="167"/>
      <c r="J30" s="167"/>
      <c r="K30" s="167"/>
      <c r="L30" s="167"/>
      <c r="M30" s="167"/>
    </row>
    <row r="31" spans="1:13" s="119" customFormat="1" ht="24.95" customHeight="1" x14ac:dyDescent="0.2">
      <c r="A31" s="233"/>
      <c r="B31" s="85" t="s">
        <v>122</v>
      </c>
      <c r="C31" s="85"/>
      <c r="D31" s="162">
        <v>2016</v>
      </c>
      <c r="E31" s="167">
        <f>SUM(F31:M31)</f>
        <v>55</v>
      </c>
      <c r="F31" s="167">
        <v>4</v>
      </c>
      <c r="G31" s="167">
        <v>14</v>
      </c>
      <c r="H31" s="165" t="s">
        <v>51</v>
      </c>
      <c r="I31" s="167">
        <v>16</v>
      </c>
      <c r="J31" s="167"/>
      <c r="K31" s="165" t="s">
        <v>51</v>
      </c>
      <c r="L31" s="167">
        <v>9</v>
      </c>
      <c r="M31" s="167">
        <v>12</v>
      </c>
    </row>
    <row r="32" spans="1:13" s="119" customFormat="1" ht="24.95" customHeight="1" x14ac:dyDescent="0.2">
      <c r="A32" s="233"/>
      <c r="B32" s="85"/>
      <c r="C32" s="85"/>
      <c r="D32" s="162">
        <v>2017</v>
      </c>
      <c r="E32" s="167">
        <f>SUM(F32:M32)</f>
        <v>43</v>
      </c>
      <c r="F32" s="167" t="s">
        <v>51</v>
      </c>
      <c r="G32" s="167">
        <v>10</v>
      </c>
      <c r="H32" s="165" t="s">
        <v>51</v>
      </c>
      <c r="I32" s="167">
        <v>12</v>
      </c>
      <c r="J32" s="167"/>
      <c r="K32" s="165" t="s">
        <v>51</v>
      </c>
      <c r="L32" s="167">
        <v>11</v>
      </c>
      <c r="M32" s="167">
        <v>10</v>
      </c>
    </row>
    <row r="33" spans="1:14" s="119" customFormat="1" ht="24.95" customHeight="1" x14ac:dyDescent="0.2">
      <c r="A33" s="233"/>
      <c r="B33" s="85"/>
      <c r="C33" s="85"/>
      <c r="D33" s="162">
        <v>2018</v>
      </c>
      <c r="E33" s="167">
        <f>SUM(F33:M33)</f>
        <v>48</v>
      </c>
      <c r="F33" s="165" t="s">
        <v>51</v>
      </c>
      <c r="G33" s="167">
        <v>14</v>
      </c>
      <c r="H33" s="167">
        <v>1</v>
      </c>
      <c r="I33" s="167">
        <v>14</v>
      </c>
      <c r="J33" s="167"/>
      <c r="K33" s="165" t="s">
        <v>51</v>
      </c>
      <c r="L33" s="167">
        <v>5</v>
      </c>
      <c r="M33" s="167">
        <v>14</v>
      </c>
    </row>
    <row r="34" spans="1:14" s="119" customFormat="1" ht="24.95" customHeight="1" x14ac:dyDescent="0.2">
      <c r="A34" s="233"/>
      <c r="B34" s="85"/>
      <c r="C34" s="85"/>
      <c r="D34" s="162"/>
      <c r="E34" s="167"/>
      <c r="F34" s="165"/>
      <c r="G34" s="167"/>
      <c r="H34" s="167"/>
      <c r="I34" s="167"/>
      <c r="J34" s="167"/>
      <c r="K34" s="167"/>
      <c r="L34" s="167"/>
      <c r="M34" s="167"/>
    </row>
    <row r="35" spans="1:14" s="119" customFormat="1" ht="24.95" customHeight="1" x14ac:dyDescent="0.2">
      <c r="A35" s="233"/>
      <c r="B35" s="85" t="s">
        <v>123</v>
      </c>
      <c r="C35" s="85"/>
      <c r="D35" s="162">
        <v>2016</v>
      </c>
      <c r="E35" s="167">
        <f>SUM(F35:M35)</f>
        <v>99</v>
      </c>
      <c r="F35" s="167">
        <v>1</v>
      </c>
      <c r="G35" s="167">
        <v>16</v>
      </c>
      <c r="H35" s="165" t="s">
        <v>51</v>
      </c>
      <c r="I35" s="167">
        <v>26</v>
      </c>
      <c r="J35" s="167"/>
      <c r="K35" s="167">
        <v>1</v>
      </c>
      <c r="L35" s="167">
        <v>19</v>
      </c>
      <c r="M35" s="167">
        <v>36</v>
      </c>
    </row>
    <row r="36" spans="1:14" s="119" customFormat="1" ht="24.95" customHeight="1" x14ac:dyDescent="0.2">
      <c r="A36" s="233"/>
      <c r="B36" s="85"/>
      <c r="C36" s="85"/>
      <c r="D36" s="162">
        <v>2017</v>
      </c>
      <c r="E36" s="167">
        <f>SUM(F36:M36)</f>
        <v>97</v>
      </c>
      <c r="F36" s="167">
        <v>1</v>
      </c>
      <c r="G36" s="167">
        <v>20</v>
      </c>
      <c r="H36" s="165" t="s">
        <v>51</v>
      </c>
      <c r="I36" s="167">
        <v>20</v>
      </c>
      <c r="J36" s="167"/>
      <c r="K36" s="165" t="s">
        <v>51</v>
      </c>
      <c r="L36" s="167">
        <v>30</v>
      </c>
      <c r="M36" s="167">
        <v>26</v>
      </c>
    </row>
    <row r="37" spans="1:14" s="119" customFormat="1" ht="24.95" customHeight="1" x14ac:dyDescent="0.2">
      <c r="A37" s="233"/>
      <c r="B37" s="85"/>
      <c r="C37" s="85"/>
      <c r="D37" s="162">
        <v>2018</v>
      </c>
      <c r="E37" s="167">
        <f>SUM(F37:M37)</f>
        <v>61</v>
      </c>
      <c r="F37" s="167">
        <v>1</v>
      </c>
      <c r="G37" s="167">
        <v>12</v>
      </c>
      <c r="H37" s="165" t="s">
        <v>51</v>
      </c>
      <c r="I37" s="167">
        <v>13</v>
      </c>
      <c r="J37" s="167"/>
      <c r="K37" s="165" t="s">
        <v>51</v>
      </c>
      <c r="L37" s="167">
        <v>14</v>
      </c>
      <c r="M37" s="167">
        <v>21</v>
      </c>
    </row>
    <row r="38" spans="1:14" s="119" customFormat="1" ht="24.95" customHeight="1" x14ac:dyDescent="0.2">
      <c r="A38" s="233"/>
      <c r="B38" s="85"/>
      <c r="C38" s="85"/>
      <c r="D38" s="162"/>
      <c r="E38" s="167"/>
      <c r="F38" s="167"/>
      <c r="G38" s="167"/>
      <c r="H38" s="167"/>
      <c r="I38" s="167"/>
      <c r="J38" s="167"/>
      <c r="K38" s="167"/>
      <c r="L38" s="167"/>
      <c r="M38" s="167"/>
    </row>
    <row r="39" spans="1:14" s="218" customFormat="1" ht="24.95" customHeight="1" x14ac:dyDescent="0.2">
      <c r="A39" s="233"/>
      <c r="B39" s="85" t="s">
        <v>124</v>
      </c>
      <c r="C39" s="85"/>
      <c r="D39" s="162">
        <v>2016</v>
      </c>
      <c r="E39" s="167">
        <f>SUM(F39:M39)</f>
        <v>43</v>
      </c>
      <c r="F39" s="167">
        <v>1</v>
      </c>
      <c r="G39" s="167">
        <v>16</v>
      </c>
      <c r="H39" s="165" t="s">
        <v>51</v>
      </c>
      <c r="I39" s="167">
        <v>7</v>
      </c>
      <c r="J39" s="167"/>
      <c r="K39" s="165" t="s">
        <v>51</v>
      </c>
      <c r="L39" s="167">
        <v>5</v>
      </c>
      <c r="M39" s="167">
        <v>14</v>
      </c>
      <c r="N39" s="119"/>
    </row>
    <row r="40" spans="1:14" s="119" customFormat="1" ht="24.95" customHeight="1" x14ac:dyDescent="0.2">
      <c r="A40" s="233"/>
      <c r="B40" s="85"/>
      <c r="C40" s="85"/>
      <c r="D40" s="162">
        <v>2017</v>
      </c>
      <c r="E40" s="167">
        <f>SUM(F40:M40)</f>
        <v>29</v>
      </c>
      <c r="F40" s="167">
        <v>1</v>
      </c>
      <c r="G40" s="167">
        <v>5</v>
      </c>
      <c r="H40" s="165" t="s">
        <v>51</v>
      </c>
      <c r="I40" s="167">
        <v>3</v>
      </c>
      <c r="J40" s="167"/>
      <c r="K40" s="165" t="s">
        <v>51</v>
      </c>
      <c r="L40" s="167">
        <v>8</v>
      </c>
      <c r="M40" s="167">
        <v>12</v>
      </c>
    </row>
    <row r="41" spans="1:14" s="119" customFormat="1" ht="24.95" customHeight="1" x14ac:dyDescent="0.2">
      <c r="A41" s="233"/>
      <c r="B41" s="85"/>
      <c r="C41" s="85"/>
      <c r="D41" s="162">
        <v>2018</v>
      </c>
      <c r="E41" s="167">
        <f>SUM(F41:M41)</f>
        <v>26</v>
      </c>
      <c r="F41" s="167">
        <v>1</v>
      </c>
      <c r="G41" s="167">
        <v>8</v>
      </c>
      <c r="H41" s="165" t="s">
        <v>51</v>
      </c>
      <c r="I41" s="167">
        <v>4</v>
      </c>
      <c r="J41" s="167"/>
      <c r="K41" s="165" t="s">
        <v>51</v>
      </c>
      <c r="L41" s="167">
        <v>2</v>
      </c>
      <c r="M41" s="167">
        <v>11</v>
      </c>
    </row>
    <row r="42" spans="1:14" s="119" customFormat="1" ht="24.95" customHeight="1" x14ac:dyDescent="0.2">
      <c r="A42" s="233"/>
      <c r="B42" s="85"/>
      <c r="C42" s="85"/>
      <c r="D42" s="162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4" s="119" customFormat="1" ht="24.95" customHeight="1" x14ac:dyDescent="0.2">
      <c r="A43" s="233"/>
      <c r="B43" s="85" t="s">
        <v>125</v>
      </c>
      <c r="C43" s="85"/>
      <c r="D43" s="162">
        <v>2016</v>
      </c>
      <c r="E43" s="167">
        <f>SUM(F43:M43)</f>
        <v>14</v>
      </c>
      <c r="F43" s="167">
        <v>1</v>
      </c>
      <c r="G43" s="167">
        <v>5</v>
      </c>
      <c r="H43" s="165" t="s">
        <v>51</v>
      </c>
      <c r="I43" s="167">
        <v>2</v>
      </c>
      <c r="J43" s="167"/>
      <c r="K43" s="165" t="s">
        <v>51</v>
      </c>
      <c r="L43" s="165" t="s">
        <v>51</v>
      </c>
      <c r="M43" s="167">
        <v>6</v>
      </c>
    </row>
    <row r="44" spans="1:14" s="119" customFormat="1" ht="24.95" customHeight="1" x14ac:dyDescent="0.2">
      <c r="A44" s="233"/>
      <c r="B44" s="85"/>
      <c r="C44" s="85"/>
      <c r="D44" s="162">
        <v>2017</v>
      </c>
      <c r="E44" s="167">
        <f>SUM(F44:M44)</f>
        <v>21</v>
      </c>
      <c r="F44" s="167" t="s">
        <v>51</v>
      </c>
      <c r="G44" s="167">
        <v>5</v>
      </c>
      <c r="H44" s="165" t="s">
        <v>51</v>
      </c>
      <c r="I44" s="167">
        <v>5</v>
      </c>
      <c r="J44" s="167"/>
      <c r="K44" s="165" t="s">
        <v>51</v>
      </c>
      <c r="L44" s="167">
        <v>2</v>
      </c>
      <c r="M44" s="167">
        <v>9</v>
      </c>
    </row>
    <row r="45" spans="1:14" s="119" customFormat="1" ht="24.95" customHeight="1" x14ac:dyDescent="0.2">
      <c r="A45" s="233"/>
      <c r="B45" s="85"/>
      <c r="C45" s="85"/>
      <c r="D45" s="162">
        <v>2018</v>
      </c>
      <c r="E45" s="167">
        <f>SUM(F45:M45)</f>
        <v>24</v>
      </c>
      <c r="F45" s="165" t="s">
        <v>51</v>
      </c>
      <c r="G45" s="167">
        <v>6</v>
      </c>
      <c r="H45" s="165" t="s">
        <v>51</v>
      </c>
      <c r="I45" s="167">
        <v>5</v>
      </c>
      <c r="J45" s="167"/>
      <c r="K45" s="165" t="s">
        <v>51</v>
      </c>
      <c r="L45" s="167">
        <v>2</v>
      </c>
      <c r="M45" s="167">
        <v>11</v>
      </c>
    </row>
    <row r="46" spans="1:14" s="53" customFormat="1" ht="8.1" customHeight="1" thickBot="1" x14ac:dyDescent="0.25">
      <c r="A46" s="219"/>
      <c r="B46" s="220"/>
      <c r="C46" s="220"/>
      <c r="D46" s="220"/>
      <c r="E46" s="221"/>
      <c r="F46" s="222"/>
      <c r="G46" s="222"/>
      <c r="H46" s="222"/>
      <c r="I46" s="222"/>
      <c r="J46" s="222"/>
      <c r="K46" s="222"/>
      <c r="L46" s="222"/>
      <c r="M46" s="223"/>
      <c r="N46" s="219"/>
    </row>
    <row r="47" spans="1:14" s="19" customFormat="1" ht="12" x14ac:dyDescent="0.2">
      <c r="B47" s="99"/>
      <c r="C47" s="99"/>
      <c r="D47" s="99"/>
      <c r="E47" s="100"/>
      <c r="F47" s="101"/>
      <c r="G47" s="101"/>
      <c r="H47" s="101"/>
      <c r="I47" s="101"/>
      <c r="J47" s="101"/>
      <c r="K47" s="101"/>
      <c r="L47" s="101"/>
      <c r="M47" s="239"/>
      <c r="N47" s="8" t="s">
        <v>101</v>
      </c>
    </row>
    <row r="48" spans="1:14" s="19" customFormat="1" ht="12" x14ac:dyDescent="0.2">
      <c r="B48" s="99"/>
      <c r="C48" s="99"/>
      <c r="D48" s="99"/>
      <c r="E48" s="100"/>
      <c r="F48" s="101"/>
      <c r="G48" s="101"/>
      <c r="H48" s="101"/>
      <c r="I48" s="101"/>
      <c r="J48" s="101"/>
      <c r="K48" s="101"/>
      <c r="L48" s="101"/>
      <c r="M48" s="239"/>
      <c r="N48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7"/>
  <sheetViews>
    <sheetView showGridLines="0" tabSelected="1" topLeftCell="A17" zoomScale="90" zoomScaleNormal="90" zoomScaleSheetLayoutView="100" workbookViewId="0">
      <selection activeCell="J23" sqref="J23"/>
    </sheetView>
  </sheetViews>
  <sheetFormatPr defaultRowHeight="15" x14ac:dyDescent="0.25"/>
  <cols>
    <col min="1" max="1" width="1.42578125" style="2" customWidth="1"/>
    <col min="2" max="2" width="10" style="3" customWidth="1"/>
    <col min="3" max="3" width="14.42578125" style="3" customWidth="1"/>
    <col min="4" max="4" width="7.42578125" style="3" customWidth="1"/>
    <col min="5" max="5" width="10.7109375" style="4" customWidth="1"/>
    <col min="6" max="7" width="10.7109375" style="5" customWidth="1"/>
    <col min="8" max="8" width="10.7109375" style="209" customWidth="1"/>
    <col min="9" max="9" width="14.85546875" style="209" customWidth="1"/>
    <col min="10" max="10" width="1.7109375" style="209" customWidth="1"/>
    <col min="11" max="11" width="10.7109375" style="209" customWidth="1"/>
    <col min="12" max="12" width="14.85546875" style="209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203</v>
      </c>
      <c r="E1" s="21"/>
      <c r="F1" s="22"/>
      <c r="G1" s="22"/>
      <c r="H1" s="22"/>
      <c r="I1" s="22"/>
      <c r="J1" s="22"/>
      <c r="K1" s="22"/>
      <c r="L1" s="22"/>
    </row>
    <row r="2" spans="1:14" s="30" customFormat="1" ht="12.95" customHeight="1" x14ac:dyDescent="0.25">
      <c r="B2" s="27"/>
      <c r="C2" s="27"/>
      <c r="D2" s="29"/>
      <c r="E2" s="28"/>
      <c r="F2" s="29"/>
      <c r="M2" s="181" t="s">
        <v>182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71" t="s">
        <v>183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71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71"/>
      <c r="N5" s="29"/>
    </row>
    <row r="6" spans="1:14" s="53" customFormat="1" ht="9.75" customHeight="1" x14ac:dyDescent="0.2">
      <c r="B6" s="118"/>
      <c r="C6" s="118"/>
      <c r="D6" s="213"/>
      <c r="E6" s="214"/>
      <c r="F6" s="213"/>
      <c r="G6" s="213"/>
      <c r="H6" s="215"/>
      <c r="I6" s="215"/>
      <c r="J6" s="215"/>
      <c r="K6" s="215"/>
      <c r="L6" s="215"/>
      <c r="M6" s="213"/>
      <c r="N6" s="117"/>
    </row>
    <row r="7" spans="1:14" s="53" customFormat="1" ht="15" customHeight="1" x14ac:dyDescent="0.2">
      <c r="B7" s="66" t="s">
        <v>192</v>
      </c>
      <c r="C7" s="67" t="s">
        <v>221</v>
      </c>
      <c r="D7" s="11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s="68" customFormat="1" ht="15" customHeight="1" x14ac:dyDescent="0.2">
      <c r="B8" s="69" t="s">
        <v>193</v>
      </c>
      <c r="C8" s="70" t="s">
        <v>222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53" customFormat="1" ht="6.75" customHeight="1" thickBot="1" x14ac:dyDescent="0.25">
      <c r="B9" s="118"/>
      <c r="C9" s="118"/>
      <c r="D9" s="118"/>
      <c r="E9" s="66"/>
      <c r="F9" s="117"/>
      <c r="G9" s="117"/>
      <c r="H9" s="117"/>
      <c r="I9" s="117"/>
      <c r="J9" s="117"/>
      <c r="K9" s="117"/>
      <c r="L9" s="117"/>
      <c r="M9" s="213"/>
    </row>
    <row r="10" spans="1:14" s="53" customFormat="1" ht="9.9499999999999993" customHeight="1" thickTop="1" x14ac:dyDescent="0.2">
      <c r="A10" s="350"/>
      <c r="B10" s="351"/>
      <c r="C10" s="351"/>
      <c r="D10" s="352"/>
      <c r="E10" s="353"/>
      <c r="F10" s="354"/>
      <c r="G10" s="354"/>
      <c r="H10" s="430"/>
      <c r="I10" s="354"/>
      <c r="J10" s="354"/>
      <c r="K10" s="354"/>
      <c r="L10" s="354"/>
      <c r="M10" s="355"/>
      <c r="N10" s="350"/>
    </row>
    <row r="11" spans="1:14" s="53" customFormat="1" ht="27.75" customHeight="1" x14ac:dyDescent="0.2">
      <c r="A11" s="356"/>
      <c r="B11" s="466" t="s">
        <v>239</v>
      </c>
      <c r="C11" s="466"/>
      <c r="D11" s="425" t="s">
        <v>251</v>
      </c>
      <c r="E11" s="425" t="s">
        <v>249</v>
      </c>
      <c r="F11" s="425" t="s">
        <v>248</v>
      </c>
      <c r="G11" s="425" t="s">
        <v>247</v>
      </c>
      <c r="H11" s="467" t="s">
        <v>272</v>
      </c>
      <c r="I11" s="467"/>
      <c r="J11" s="423"/>
      <c r="K11" s="467" t="s">
        <v>250</v>
      </c>
      <c r="L11" s="467"/>
      <c r="M11" s="425" t="s">
        <v>246</v>
      </c>
      <c r="N11" s="357"/>
    </row>
    <row r="12" spans="1:14" s="53" customFormat="1" ht="30" customHeight="1" x14ac:dyDescent="0.2">
      <c r="A12" s="356"/>
      <c r="B12" s="468" t="s">
        <v>240</v>
      </c>
      <c r="C12" s="468"/>
      <c r="D12" s="424" t="s">
        <v>241</v>
      </c>
      <c r="E12" s="424" t="s">
        <v>242</v>
      </c>
      <c r="F12" s="424" t="s">
        <v>243</v>
      </c>
      <c r="G12" s="424" t="s">
        <v>244</v>
      </c>
      <c r="H12" s="436" t="s">
        <v>254</v>
      </c>
      <c r="I12" s="436" t="s">
        <v>255</v>
      </c>
      <c r="J12" s="436"/>
      <c r="K12" s="436" t="s">
        <v>254</v>
      </c>
      <c r="L12" s="436" t="s">
        <v>255</v>
      </c>
      <c r="M12" s="413" t="s">
        <v>245</v>
      </c>
      <c r="N12" s="422"/>
    </row>
    <row r="13" spans="1:14" s="53" customFormat="1" ht="30" customHeight="1" x14ac:dyDescent="0.2">
      <c r="A13" s="358"/>
      <c r="B13" s="434"/>
      <c r="C13" s="434"/>
      <c r="D13" s="426"/>
      <c r="E13" s="426"/>
      <c r="F13" s="426"/>
      <c r="G13" s="426"/>
      <c r="H13" s="435" t="s">
        <v>252</v>
      </c>
      <c r="I13" s="435" t="s">
        <v>253</v>
      </c>
      <c r="J13" s="435"/>
      <c r="K13" s="435" t="s">
        <v>252</v>
      </c>
      <c r="L13" s="435" t="s">
        <v>253</v>
      </c>
      <c r="M13" s="414"/>
      <c r="N13" s="348"/>
    </row>
    <row r="14" spans="1:14" s="53" customFormat="1" ht="6" customHeight="1" x14ac:dyDescent="0.2">
      <c r="A14" s="119"/>
      <c r="B14" s="204"/>
      <c r="C14" s="204"/>
      <c r="D14" s="93"/>
      <c r="E14" s="93"/>
      <c r="F14" s="216"/>
      <c r="G14" s="216"/>
      <c r="H14" s="216"/>
      <c r="I14" s="216"/>
      <c r="J14" s="216"/>
      <c r="K14" s="216"/>
      <c r="L14" s="216"/>
      <c r="M14" s="216"/>
      <c r="N14" s="89"/>
    </row>
    <row r="15" spans="1:14" s="53" customFormat="1" ht="24.95" customHeight="1" x14ac:dyDescent="0.2">
      <c r="A15" s="233"/>
      <c r="B15" s="127" t="s">
        <v>177</v>
      </c>
      <c r="C15" s="127"/>
      <c r="D15" s="112">
        <v>2016</v>
      </c>
      <c r="E15" s="166">
        <f>SUM(F15:M15)</f>
        <v>3776</v>
      </c>
      <c r="F15" s="166">
        <f>SUM(F19,F23,F27,F31,F35,F39)</f>
        <v>41</v>
      </c>
      <c r="G15" s="166">
        <f t="shared" ref="G15:M15" si="0">SUM(G19,G23,G27,G31,G35,G39)</f>
        <v>93</v>
      </c>
      <c r="H15" s="166">
        <f t="shared" ref="H15:I15" si="1">SUM(H19,H23,H27,H31,H35,H39)</f>
        <v>13</v>
      </c>
      <c r="I15" s="166">
        <f t="shared" si="1"/>
        <v>2272</v>
      </c>
      <c r="J15" s="166"/>
      <c r="K15" s="166">
        <f t="shared" ref="K15:L15" si="2">SUM(K19,K23,K27,K31,K35,K39)</f>
        <v>4</v>
      </c>
      <c r="L15" s="166">
        <f t="shared" si="2"/>
        <v>710</v>
      </c>
      <c r="M15" s="166">
        <f t="shared" si="0"/>
        <v>643</v>
      </c>
    </row>
    <row r="16" spans="1:14" s="105" customFormat="1" ht="24.95" customHeight="1" x14ac:dyDescent="0.2">
      <c r="A16" s="233"/>
      <c r="B16" s="127"/>
      <c r="C16" s="127"/>
      <c r="D16" s="112">
        <v>2017</v>
      </c>
      <c r="E16" s="166">
        <f>SUM(F16:M16)</f>
        <v>3999</v>
      </c>
      <c r="F16" s="166">
        <f t="shared" ref="F16:M17" si="3">SUM(F20,F24,F28,F32,F36,F40)</f>
        <v>37</v>
      </c>
      <c r="G16" s="166">
        <f t="shared" si="3"/>
        <v>132</v>
      </c>
      <c r="H16" s="166">
        <f t="shared" ref="H16:I16" si="4">SUM(H20,H24,H28,H32,H36,H40)</f>
        <v>4</v>
      </c>
      <c r="I16" s="166">
        <f t="shared" si="4"/>
        <v>1984</v>
      </c>
      <c r="J16" s="166"/>
      <c r="K16" s="143" t="s">
        <v>51</v>
      </c>
      <c r="L16" s="166">
        <f t="shared" ref="L16" si="5">SUM(L20,L24,L28,L32,L36,L40)</f>
        <v>1191</v>
      </c>
      <c r="M16" s="166">
        <f t="shared" si="3"/>
        <v>651</v>
      </c>
    </row>
    <row r="17" spans="1:13" s="105" customFormat="1" ht="24.95" customHeight="1" x14ac:dyDescent="0.2">
      <c r="A17" s="233"/>
      <c r="B17" s="127"/>
      <c r="C17" s="127"/>
      <c r="D17" s="112">
        <v>2018</v>
      </c>
      <c r="E17" s="166">
        <f>SUM(F17:M17)</f>
        <v>3137</v>
      </c>
      <c r="F17" s="166">
        <f>SUM(F21,F25,F29,F33,F37,F41)</f>
        <v>33</v>
      </c>
      <c r="G17" s="166">
        <f t="shared" si="3"/>
        <v>112</v>
      </c>
      <c r="H17" s="166">
        <f t="shared" ref="H17:I17" si="6">SUM(H21,H25,H29,H33,H37,H41)</f>
        <v>3</v>
      </c>
      <c r="I17" s="166">
        <f t="shared" si="6"/>
        <v>1344</v>
      </c>
      <c r="J17" s="166"/>
      <c r="K17" s="166">
        <f t="shared" ref="K17:L17" si="7">SUM(K21,K25,K29,K33,K37,K41)</f>
        <v>1</v>
      </c>
      <c r="L17" s="166">
        <f t="shared" si="7"/>
        <v>1124</v>
      </c>
      <c r="M17" s="166">
        <f t="shared" si="3"/>
        <v>520</v>
      </c>
    </row>
    <row r="18" spans="1:13" s="105" customFormat="1" ht="24.95" customHeight="1" x14ac:dyDescent="0.2">
      <c r="A18" s="233"/>
      <c r="B18" s="127"/>
      <c r="C18" s="127"/>
      <c r="D18" s="112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1:13" s="105" customFormat="1" ht="24.95" customHeight="1" x14ac:dyDescent="0.2">
      <c r="A19" s="233"/>
      <c r="B19" s="85" t="s">
        <v>81</v>
      </c>
      <c r="C19" s="85"/>
      <c r="D19" s="111">
        <v>2016</v>
      </c>
      <c r="E19" s="167">
        <f>SUM(F19:M19)</f>
        <v>609</v>
      </c>
      <c r="F19" s="167">
        <v>6</v>
      </c>
      <c r="G19" s="167">
        <v>13</v>
      </c>
      <c r="H19" s="167">
        <v>2</v>
      </c>
      <c r="I19" s="167">
        <v>433</v>
      </c>
      <c r="J19" s="167"/>
      <c r="K19" s="167">
        <v>1</v>
      </c>
      <c r="L19" s="167">
        <v>100</v>
      </c>
      <c r="M19" s="167">
        <v>54</v>
      </c>
    </row>
    <row r="20" spans="1:13" s="105" customFormat="1" ht="24.95" customHeight="1" x14ac:dyDescent="0.2">
      <c r="A20" s="233"/>
      <c r="B20" s="85"/>
      <c r="C20" s="85"/>
      <c r="D20" s="111">
        <v>2017</v>
      </c>
      <c r="E20" s="167">
        <f>SUM(F20:M20)</f>
        <v>579</v>
      </c>
      <c r="F20" s="167">
        <v>2</v>
      </c>
      <c r="G20" s="167">
        <v>24</v>
      </c>
      <c r="H20" s="167">
        <v>1</v>
      </c>
      <c r="I20" s="167">
        <v>304</v>
      </c>
      <c r="J20" s="167"/>
      <c r="K20" s="165" t="s">
        <v>51</v>
      </c>
      <c r="L20" s="167">
        <v>179</v>
      </c>
      <c r="M20" s="167">
        <v>69</v>
      </c>
    </row>
    <row r="21" spans="1:13" s="105" customFormat="1" ht="24.95" customHeight="1" x14ac:dyDescent="0.2">
      <c r="A21" s="233"/>
      <c r="B21" s="85"/>
      <c r="C21" s="85"/>
      <c r="D21" s="111">
        <v>2018</v>
      </c>
      <c r="E21" s="167">
        <f>SUM(F21:M21)</f>
        <v>418</v>
      </c>
      <c r="F21" s="167">
        <v>3</v>
      </c>
      <c r="G21" s="167">
        <v>20</v>
      </c>
      <c r="H21" s="167">
        <v>1</v>
      </c>
      <c r="I21" s="167">
        <v>177</v>
      </c>
      <c r="J21" s="167"/>
      <c r="K21" s="167">
        <v>1</v>
      </c>
      <c r="L21" s="167">
        <v>145</v>
      </c>
      <c r="M21" s="167">
        <v>71</v>
      </c>
    </row>
    <row r="22" spans="1:13" s="105" customFormat="1" ht="24.95" customHeight="1" x14ac:dyDescent="0.2">
      <c r="A22" s="233"/>
      <c r="B22" s="85"/>
      <c r="C22" s="85"/>
      <c r="D22" s="111"/>
      <c r="E22" s="167"/>
      <c r="F22" s="167"/>
      <c r="G22" s="167"/>
      <c r="H22" s="167"/>
      <c r="I22" s="167"/>
      <c r="J22" s="167"/>
      <c r="K22" s="167"/>
      <c r="L22" s="167"/>
      <c r="M22" s="167"/>
    </row>
    <row r="23" spans="1:13" s="105" customFormat="1" ht="24.95" customHeight="1" x14ac:dyDescent="0.2">
      <c r="A23" s="233"/>
      <c r="B23" s="85" t="s">
        <v>82</v>
      </c>
      <c r="C23" s="85"/>
      <c r="D23" s="111">
        <v>2016</v>
      </c>
      <c r="E23" s="167">
        <f>SUM(F23:M23)</f>
        <v>458</v>
      </c>
      <c r="F23" s="167">
        <v>7</v>
      </c>
      <c r="G23" s="167">
        <v>8</v>
      </c>
      <c r="H23" s="167">
        <v>1</v>
      </c>
      <c r="I23" s="167">
        <v>290</v>
      </c>
      <c r="J23" s="167"/>
      <c r="K23" s="167">
        <v>1</v>
      </c>
      <c r="L23" s="167">
        <v>62</v>
      </c>
      <c r="M23" s="167">
        <v>89</v>
      </c>
    </row>
    <row r="24" spans="1:13" s="53" customFormat="1" ht="24.95" customHeight="1" x14ac:dyDescent="0.2">
      <c r="A24" s="233"/>
      <c r="B24" s="85"/>
      <c r="C24" s="85"/>
      <c r="D24" s="111">
        <v>2017</v>
      </c>
      <c r="E24" s="167">
        <f>SUM(F24:M24)</f>
        <v>472</v>
      </c>
      <c r="F24" s="167">
        <v>5</v>
      </c>
      <c r="G24" s="167">
        <v>23</v>
      </c>
      <c r="H24" s="165" t="s">
        <v>51</v>
      </c>
      <c r="I24" s="167">
        <v>269</v>
      </c>
      <c r="J24" s="167"/>
      <c r="K24" s="165" t="s">
        <v>51</v>
      </c>
      <c r="L24" s="167">
        <v>92</v>
      </c>
      <c r="M24" s="167">
        <v>83</v>
      </c>
    </row>
    <row r="25" spans="1:13" s="53" customFormat="1" ht="24.95" customHeight="1" x14ac:dyDescent="0.2">
      <c r="A25" s="233"/>
      <c r="B25" s="85"/>
      <c r="C25" s="85"/>
      <c r="D25" s="111">
        <v>2018</v>
      </c>
      <c r="E25" s="167">
        <f>SUM(F25:M25)</f>
        <v>279</v>
      </c>
      <c r="F25" s="167">
        <v>3</v>
      </c>
      <c r="G25" s="167">
        <v>27</v>
      </c>
      <c r="H25" s="167">
        <v>1</v>
      </c>
      <c r="I25" s="167">
        <v>121</v>
      </c>
      <c r="J25" s="167"/>
      <c r="K25" s="165" t="s">
        <v>51</v>
      </c>
      <c r="L25" s="167">
        <v>54</v>
      </c>
      <c r="M25" s="167">
        <v>73</v>
      </c>
    </row>
    <row r="26" spans="1:13" s="53" customFormat="1" ht="24.95" customHeight="1" x14ac:dyDescent="0.2">
      <c r="A26" s="233"/>
      <c r="B26" s="85"/>
      <c r="C26" s="85"/>
      <c r="D26" s="111"/>
      <c r="E26" s="167"/>
      <c r="F26" s="167"/>
      <c r="G26" s="167"/>
      <c r="H26" s="167"/>
      <c r="I26" s="167"/>
      <c r="J26" s="167"/>
      <c r="K26" s="167"/>
      <c r="L26" s="167"/>
      <c r="M26" s="167"/>
    </row>
    <row r="27" spans="1:13" s="53" customFormat="1" ht="24.95" customHeight="1" x14ac:dyDescent="0.2">
      <c r="A27" s="233"/>
      <c r="B27" s="85" t="s">
        <v>83</v>
      </c>
      <c r="C27" s="85"/>
      <c r="D27" s="111">
        <v>2016</v>
      </c>
      <c r="E27" s="167">
        <f>SUM(F27:M27)</f>
        <v>1061</v>
      </c>
      <c r="F27" s="167">
        <v>6</v>
      </c>
      <c r="G27" s="167">
        <v>25</v>
      </c>
      <c r="H27" s="167">
        <v>1</v>
      </c>
      <c r="I27" s="167">
        <v>586</v>
      </c>
      <c r="J27" s="167"/>
      <c r="K27" s="167">
        <v>1</v>
      </c>
      <c r="L27" s="167">
        <v>241</v>
      </c>
      <c r="M27" s="167">
        <v>201</v>
      </c>
    </row>
    <row r="28" spans="1:13" s="53" customFormat="1" ht="24.95" customHeight="1" x14ac:dyDescent="0.2">
      <c r="A28" s="233"/>
      <c r="B28" s="85"/>
      <c r="C28" s="85"/>
      <c r="D28" s="111">
        <v>2017</v>
      </c>
      <c r="E28" s="167">
        <f>SUM(F28:M28)</f>
        <v>1352</v>
      </c>
      <c r="F28" s="167">
        <v>10</v>
      </c>
      <c r="G28" s="167">
        <v>30</v>
      </c>
      <c r="H28" s="167">
        <v>1</v>
      </c>
      <c r="I28" s="167">
        <v>551</v>
      </c>
      <c r="J28" s="167"/>
      <c r="K28" s="165" t="s">
        <v>51</v>
      </c>
      <c r="L28" s="167">
        <v>599</v>
      </c>
      <c r="M28" s="167">
        <v>161</v>
      </c>
    </row>
    <row r="29" spans="1:13" s="53" customFormat="1" ht="24.95" customHeight="1" x14ac:dyDescent="0.2">
      <c r="A29" s="233"/>
      <c r="B29" s="85"/>
      <c r="C29" s="85"/>
      <c r="D29" s="111">
        <v>2018</v>
      </c>
      <c r="E29" s="167">
        <f>SUM(F29:M29)</f>
        <v>1354</v>
      </c>
      <c r="F29" s="167">
        <v>8</v>
      </c>
      <c r="G29" s="167">
        <v>23</v>
      </c>
      <c r="H29" s="165" t="s">
        <v>51</v>
      </c>
      <c r="I29" s="167">
        <v>532</v>
      </c>
      <c r="J29" s="167"/>
      <c r="K29" s="165" t="s">
        <v>51</v>
      </c>
      <c r="L29" s="167">
        <v>679</v>
      </c>
      <c r="M29" s="167">
        <v>112</v>
      </c>
    </row>
    <row r="30" spans="1:13" s="53" customFormat="1" ht="24.95" customHeight="1" x14ac:dyDescent="0.2">
      <c r="A30" s="233"/>
      <c r="B30" s="85"/>
      <c r="C30" s="85"/>
      <c r="D30" s="111"/>
      <c r="E30" s="167"/>
      <c r="F30" s="167"/>
      <c r="G30" s="167"/>
      <c r="H30" s="167"/>
      <c r="I30" s="167"/>
      <c r="J30" s="167"/>
      <c r="K30" s="167"/>
      <c r="L30" s="167"/>
      <c r="M30" s="167"/>
    </row>
    <row r="31" spans="1:13" s="53" customFormat="1" ht="24.95" customHeight="1" x14ac:dyDescent="0.2">
      <c r="A31" s="233"/>
      <c r="B31" s="85" t="s">
        <v>84</v>
      </c>
      <c r="C31" s="85"/>
      <c r="D31" s="111">
        <v>2016</v>
      </c>
      <c r="E31" s="167">
        <f>SUM(F31:M31)</f>
        <v>228</v>
      </c>
      <c r="F31" s="167">
        <v>14</v>
      </c>
      <c r="G31" s="167">
        <v>24</v>
      </c>
      <c r="H31" s="165" t="s">
        <v>51</v>
      </c>
      <c r="I31" s="167">
        <v>12</v>
      </c>
      <c r="J31" s="167"/>
      <c r="K31" s="165" t="s">
        <v>51</v>
      </c>
      <c r="L31" s="167">
        <v>3</v>
      </c>
      <c r="M31" s="167">
        <v>175</v>
      </c>
    </row>
    <row r="32" spans="1:13" s="53" customFormat="1" ht="24.95" customHeight="1" x14ac:dyDescent="0.2">
      <c r="A32" s="233"/>
      <c r="B32" s="85"/>
      <c r="C32" s="85"/>
      <c r="D32" s="111">
        <v>2017</v>
      </c>
      <c r="E32" s="167">
        <f>SUM(F32:M32)</f>
        <v>251</v>
      </c>
      <c r="F32" s="167">
        <v>15</v>
      </c>
      <c r="G32" s="167">
        <v>21</v>
      </c>
      <c r="H32" s="165" t="s">
        <v>51</v>
      </c>
      <c r="I32" s="167">
        <v>10</v>
      </c>
      <c r="J32" s="167"/>
      <c r="K32" s="165" t="s">
        <v>51</v>
      </c>
      <c r="L32" s="167">
        <v>4</v>
      </c>
      <c r="M32" s="167">
        <v>201</v>
      </c>
    </row>
    <row r="33" spans="1:14" s="53" customFormat="1" ht="24.95" customHeight="1" x14ac:dyDescent="0.2">
      <c r="A33" s="233"/>
      <c r="B33" s="85"/>
      <c r="C33" s="85"/>
      <c r="D33" s="111">
        <v>2018</v>
      </c>
      <c r="E33" s="167">
        <f>SUM(F33:M33)</f>
        <v>208</v>
      </c>
      <c r="F33" s="167">
        <v>12</v>
      </c>
      <c r="G33" s="167">
        <v>24</v>
      </c>
      <c r="H33" s="167">
        <v>1</v>
      </c>
      <c r="I33" s="167">
        <v>4</v>
      </c>
      <c r="J33" s="167"/>
      <c r="K33" s="165" t="s">
        <v>51</v>
      </c>
      <c r="L33" s="167">
        <v>4</v>
      </c>
      <c r="M33" s="167">
        <v>163</v>
      </c>
    </row>
    <row r="34" spans="1:14" s="53" customFormat="1" ht="24.95" customHeight="1" x14ac:dyDescent="0.2">
      <c r="A34" s="233"/>
      <c r="B34" s="85"/>
      <c r="C34" s="85"/>
      <c r="D34" s="111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14" s="118" customFormat="1" ht="24.95" customHeight="1" x14ac:dyDescent="0.2">
      <c r="A35" s="233"/>
      <c r="B35" s="85" t="s">
        <v>85</v>
      </c>
      <c r="C35" s="85"/>
      <c r="D35" s="111">
        <v>2016</v>
      </c>
      <c r="E35" s="167">
        <f>SUM(F35:M35)</f>
        <v>845</v>
      </c>
      <c r="F35" s="167">
        <v>7</v>
      </c>
      <c r="G35" s="167">
        <v>18</v>
      </c>
      <c r="H35" s="167">
        <v>6</v>
      </c>
      <c r="I35" s="167">
        <v>499</v>
      </c>
      <c r="J35" s="167"/>
      <c r="K35" s="167">
        <v>1</v>
      </c>
      <c r="L35" s="167">
        <v>194</v>
      </c>
      <c r="M35" s="167">
        <v>120</v>
      </c>
      <c r="N35" s="53"/>
    </row>
    <row r="36" spans="1:14" s="53" customFormat="1" ht="24.95" customHeight="1" x14ac:dyDescent="0.2">
      <c r="A36" s="233"/>
      <c r="B36" s="85"/>
      <c r="C36" s="85"/>
      <c r="D36" s="111">
        <v>2017</v>
      </c>
      <c r="E36" s="167">
        <f>SUM(F36:M36)</f>
        <v>718</v>
      </c>
      <c r="F36" s="167">
        <v>5</v>
      </c>
      <c r="G36" s="167">
        <v>32</v>
      </c>
      <c r="H36" s="167">
        <v>1</v>
      </c>
      <c r="I36" s="167">
        <v>417</v>
      </c>
      <c r="J36" s="167"/>
      <c r="K36" s="165" t="s">
        <v>51</v>
      </c>
      <c r="L36" s="167">
        <v>129</v>
      </c>
      <c r="M36" s="167">
        <v>134</v>
      </c>
    </row>
    <row r="37" spans="1:14" s="53" customFormat="1" ht="24.95" customHeight="1" x14ac:dyDescent="0.2">
      <c r="A37" s="233"/>
      <c r="B37" s="85"/>
      <c r="C37" s="85"/>
      <c r="D37" s="111">
        <v>2018</v>
      </c>
      <c r="E37" s="167">
        <f>SUM(F37:M37)</f>
        <v>578</v>
      </c>
      <c r="F37" s="167">
        <v>7</v>
      </c>
      <c r="G37" s="167">
        <v>16</v>
      </c>
      <c r="H37" s="165" t="s">
        <v>51</v>
      </c>
      <c r="I37" s="167">
        <v>313</v>
      </c>
      <c r="J37" s="167"/>
      <c r="K37" s="165" t="s">
        <v>51</v>
      </c>
      <c r="L37" s="167">
        <v>147</v>
      </c>
      <c r="M37" s="167">
        <v>95</v>
      </c>
    </row>
    <row r="38" spans="1:14" s="53" customFormat="1" ht="24.95" customHeight="1" x14ac:dyDescent="0.2">
      <c r="A38" s="233"/>
      <c r="B38" s="85"/>
      <c r="C38" s="85"/>
      <c r="D38" s="111"/>
      <c r="E38" s="167"/>
      <c r="F38" s="167"/>
      <c r="G38" s="167"/>
      <c r="H38" s="167"/>
      <c r="I38" s="167"/>
      <c r="J38" s="167"/>
      <c r="K38" s="167"/>
      <c r="L38" s="167"/>
      <c r="M38" s="167"/>
    </row>
    <row r="39" spans="1:14" s="53" customFormat="1" ht="24.95" customHeight="1" x14ac:dyDescent="0.2">
      <c r="A39" s="233"/>
      <c r="B39" s="85" t="s">
        <v>86</v>
      </c>
      <c r="C39" s="85"/>
      <c r="D39" s="111">
        <v>2016</v>
      </c>
      <c r="E39" s="167">
        <f>SUM(F39:M39)</f>
        <v>575</v>
      </c>
      <c r="F39" s="167">
        <v>1</v>
      </c>
      <c r="G39" s="167">
        <v>5</v>
      </c>
      <c r="H39" s="167">
        <v>3</v>
      </c>
      <c r="I39" s="167">
        <v>452</v>
      </c>
      <c r="J39" s="167"/>
      <c r="K39" s="165" t="s">
        <v>51</v>
      </c>
      <c r="L39" s="167">
        <v>110</v>
      </c>
      <c r="M39" s="167">
        <v>4</v>
      </c>
    </row>
    <row r="40" spans="1:14" s="53" customFormat="1" ht="24.95" customHeight="1" x14ac:dyDescent="0.2">
      <c r="A40" s="233"/>
      <c r="B40" s="85"/>
      <c r="C40" s="85"/>
      <c r="D40" s="111">
        <v>2017</v>
      </c>
      <c r="E40" s="167">
        <f>SUM(F40:M40)</f>
        <v>627</v>
      </c>
      <c r="F40" s="165" t="s">
        <v>51</v>
      </c>
      <c r="G40" s="167">
        <v>2</v>
      </c>
      <c r="H40" s="167">
        <v>1</v>
      </c>
      <c r="I40" s="167">
        <v>433</v>
      </c>
      <c r="J40" s="167"/>
      <c r="K40" s="165" t="s">
        <v>51</v>
      </c>
      <c r="L40" s="167">
        <v>188</v>
      </c>
      <c r="M40" s="167">
        <v>3</v>
      </c>
    </row>
    <row r="41" spans="1:14" s="53" customFormat="1" ht="24.95" customHeight="1" x14ac:dyDescent="0.2">
      <c r="A41" s="233"/>
      <c r="B41" s="85"/>
      <c r="C41" s="85"/>
      <c r="D41" s="111">
        <v>2018</v>
      </c>
      <c r="E41" s="167">
        <f>SUM(F41:M41)</f>
        <v>300</v>
      </c>
      <c r="F41" s="165" t="s">
        <v>51</v>
      </c>
      <c r="G41" s="167">
        <v>2</v>
      </c>
      <c r="H41" s="165" t="s">
        <v>51</v>
      </c>
      <c r="I41" s="167">
        <v>197</v>
      </c>
      <c r="J41" s="167"/>
      <c r="K41" s="165" t="s">
        <v>51</v>
      </c>
      <c r="L41" s="167">
        <v>95</v>
      </c>
      <c r="M41" s="167">
        <v>6</v>
      </c>
    </row>
    <row r="42" spans="1:14" s="53" customFormat="1" ht="8.1" customHeight="1" thickBot="1" x14ac:dyDescent="0.25">
      <c r="A42" s="219"/>
      <c r="B42" s="220"/>
      <c r="C42" s="220"/>
      <c r="D42" s="220"/>
      <c r="E42" s="221"/>
      <c r="F42" s="222"/>
      <c r="G42" s="222"/>
      <c r="H42" s="222"/>
      <c r="I42" s="222"/>
      <c r="J42" s="222"/>
      <c r="K42" s="222"/>
      <c r="L42" s="222"/>
      <c r="M42" s="223"/>
      <c r="N42" s="219"/>
    </row>
    <row r="43" spans="1:14" s="53" customFormat="1" ht="12.75" x14ac:dyDescent="0.2">
      <c r="B43" s="118"/>
      <c r="C43" s="118"/>
      <c r="D43" s="118"/>
      <c r="E43" s="66"/>
      <c r="F43" s="117"/>
      <c r="G43" s="117"/>
      <c r="H43" s="117"/>
      <c r="I43" s="117"/>
      <c r="J43" s="117"/>
      <c r="K43" s="117"/>
      <c r="L43" s="117"/>
      <c r="M43" s="213"/>
      <c r="N43" s="8" t="s">
        <v>101</v>
      </c>
    </row>
    <row r="44" spans="1:14" s="53" customFormat="1" ht="12.75" x14ac:dyDescent="0.2">
      <c r="B44" s="118"/>
      <c r="C44" s="118"/>
      <c r="D44" s="118"/>
      <c r="E44" s="66"/>
      <c r="F44" s="117"/>
      <c r="G44" s="117"/>
      <c r="H44" s="117"/>
      <c r="I44" s="117"/>
      <c r="J44" s="117"/>
      <c r="K44" s="117"/>
      <c r="L44" s="117"/>
      <c r="M44" s="213"/>
      <c r="N44" s="41" t="s">
        <v>1</v>
      </c>
    </row>
    <row r="45" spans="1:14" x14ac:dyDescent="0.25">
      <c r="D45" s="13"/>
    </row>
    <row r="46" spans="1:14" x14ac:dyDescent="0.25">
      <c r="D46" s="13"/>
    </row>
    <row r="47" spans="1:14" x14ac:dyDescent="0.25">
      <c r="D47" s="13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7"/>
  <sheetViews>
    <sheetView showGridLines="0" tabSelected="1" topLeftCell="B22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" style="2" customWidth="1"/>
    <col min="2" max="2" width="12.140625" style="3" customWidth="1"/>
    <col min="3" max="3" width="6.7109375" style="3" customWidth="1"/>
    <col min="4" max="4" width="8.85546875" style="3" customWidth="1"/>
    <col min="5" max="5" width="12.28515625" style="4" customWidth="1"/>
    <col min="6" max="6" width="11.5703125" style="5" customWidth="1"/>
    <col min="7" max="7" width="12.28515625" style="5" customWidth="1"/>
    <col min="8" max="8" width="12.28515625" style="209" customWidth="1"/>
    <col min="9" max="9" width="12.28515625" style="5" customWidth="1"/>
    <col min="10" max="10" width="10.42578125" style="2" customWidth="1"/>
    <col min="11" max="11" width="11.85546875" style="2" customWidth="1"/>
    <col min="12" max="16384" width="9.140625" style="2"/>
  </cols>
  <sheetData>
    <row r="1" spans="1:12" s="30" customFormat="1" ht="12" customHeight="1" x14ac:dyDescent="0.25">
      <c r="B1" s="27"/>
      <c r="C1" s="27"/>
      <c r="D1" s="27"/>
      <c r="E1" s="27"/>
      <c r="F1" s="27"/>
      <c r="G1" s="28"/>
      <c r="H1" s="29"/>
      <c r="K1" s="181" t="s">
        <v>182</v>
      </c>
    </row>
    <row r="2" spans="1:12" s="30" customFormat="1" ht="12" customHeight="1" x14ac:dyDescent="0.25">
      <c r="B2" s="27"/>
      <c r="C2" s="27"/>
      <c r="D2" s="27"/>
      <c r="E2" s="27"/>
      <c r="F2" s="27"/>
      <c r="G2" s="28"/>
      <c r="H2" s="29"/>
      <c r="K2" s="71" t="s">
        <v>183</v>
      </c>
    </row>
    <row r="3" spans="1:12" s="30" customFormat="1" ht="12" customHeight="1" x14ac:dyDescent="0.25">
      <c r="B3" s="27"/>
      <c r="C3" s="27"/>
      <c r="D3" s="27"/>
      <c r="E3" s="27"/>
      <c r="F3" s="27"/>
      <c r="G3" s="28"/>
      <c r="H3" s="29"/>
      <c r="I3" s="71"/>
    </row>
    <row r="4" spans="1:12" s="30" customFormat="1" ht="12" customHeight="1" x14ac:dyDescent="0.25">
      <c r="B4" s="27"/>
      <c r="C4" s="27"/>
      <c r="D4" s="27"/>
      <c r="E4" s="27"/>
      <c r="F4" s="27"/>
      <c r="G4" s="28"/>
      <c r="H4" s="29"/>
      <c r="I4" s="71"/>
    </row>
    <row r="5" spans="1:12" s="53" customFormat="1" ht="15" customHeight="1" x14ac:dyDescent="0.2">
      <c r="B5" s="82" t="s">
        <v>208</v>
      </c>
      <c r="C5" s="67" t="s">
        <v>215</v>
      </c>
      <c r="D5" s="67"/>
      <c r="E5" s="67"/>
      <c r="F5" s="67"/>
      <c r="G5" s="67"/>
      <c r="H5" s="67"/>
      <c r="I5" s="67"/>
      <c r="J5" s="67"/>
      <c r="K5" s="67"/>
      <c r="L5" s="203"/>
    </row>
    <row r="6" spans="1:12" s="53" customFormat="1" ht="15" customHeight="1" x14ac:dyDescent="0.2">
      <c r="B6" s="83" t="s">
        <v>209</v>
      </c>
      <c r="C6" s="89" t="s">
        <v>216</v>
      </c>
      <c r="D6" s="89"/>
      <c r="E6" s="89"/>
      <c r="F6" s="89"/>
      <c r="G6" s="89"/>
      <c r="H6" s="89"/>
      <c r="I6" s="89"/>
      <c r="J6" s="89"/>
      <c r="K6" s="89"/>
      <c r="L6" s="204"/>
    </row>
    <row r="7" spans="1:12" ht="8.1" customHeight="1" thickBot="1" x14ac:dyDescent="0.3">
      <c r="B7" s="205"/>
      <c r="C7" s="205"/>
      <c r="D7" s="205"/>
      <c r="E7" s="206"/>
      <c r="F7" s="207"/>
      <c r="G7" s="207"/>
      <c r="H7" s="208"/>
      <c r="I7" s="207"/>
      <c r="J7" s="7"/>
      <c r="K7" s="7"/>
    </row>
    <row r="8" spans="1:12" ht="6" customHeight="1" thickTop="1" x14ac:dyDescent="0.2">
      <c r="A8" s="359"/>
      <c r="B8" s="359"/>
      <c r="C8" s="349"/>
      <c r="D8" s="349"/>
      <c r="E8" s="469"/>
      <c r="F8" s="469"/>
      <c r="G8" s="469"/>
      <c r="H8" s="469"/>
      <c r="I8" s="469"/>
      <c r="J8" s="469"/>
      <c r="K8" s="469"/>
    </row>
    <row r="9" spans="1:12" s="53" customFormat="1" ht="30.75" customHeight="1" x14ac:dyDescent="0.2">
      <c r="A9" s="356"/>
      <c r="B9" s="360" t="s">
        <v>194</v>
      </c>
      <c r="C9" s="361"/>
      <c r="D9" s="362" t="s">
        <v>195</v>
      </c>
      <c r="E9" s="470" t="s">
        <v>94</v>
      </c>
      <c r="F9" s="472" t="s">
        <v>196</v>
      </c>
      <c r="G9" s="474" t="s">
        <v>197</v>
      </c>
      <c r="H9" s="474"/>
      <c r="I9" s="474"/>
      <c r="J9" s="473" t="s">
        <v>198</v>
      </c>
      <c r="K9" s="472" t="s">
        <v>199</v>
      </c>
    </row>
    <row r="10" spans="1:12" s="105" customFormat="1" ht="55.5" customHeight="1" x14ac:dyDescent="0.2">
      <c r="A10" s="363"/>
      <c r="B10" s="364"/>
      <c r="C10" s="342"/>
      <c r="D10" s="342"/>
      <c r="E10" s="471"/>
      <c r="F10" s="473"/>
      <c r="G10" s="344" t="s">
        <v>200</v>
      </c>
      <c r="H10" s="344" t="s">
        <v>201</v>
      </c>
      <c r="I10" s="345" t="s">
        <v>202</v>
      </c>
      <c r="J10" s="475"/>
      <c r="K10" s="473"/>
    </row>
    <row r="11" spans="1:12" ht="6.75" customHeight="1" x14ac:dyDescent="0.25">
      <c r="I11" s="207"/>
    </row>
    <row r="12" spans="1:12" ht="12.95" customHeight="1" x14ac:dyDescent="0.2">
      <c r="B12" s="194" t="s">
        <v>187</v>
      </c>
      <c r="C12" s="195"/>
      <c r="D12" s="65">
        <v>2016</v>
      </c>
      <c r="E12" s="196">
        <f>SUM(F12:K12)</f>
        <v>90028</v>
      </c>
      <c r="F12" s="196">
        <f>SUM(F16,F20,F24,F28,F32,F36,F40,F44,F48,F52,F56,F60,F64,F68)</f>
        <v>18760</v>
      </c>
      <c r="G12" s="196">
        <f t="shared" ref="G12:J12" si="0">SUM(G16,G20,G24,G28,G32,G36,G40,G44,G48,G52,G56,G60,G64,G68)</f>
        <v>3050</v>
      </c>
      <c r="H12" s="196">
        <f t="shared" si="0"/>
        <v>10607</v>
      </c>
      <c r="I12" s="196">
        <f t="shared" si="0"/>
        <v>34754</v>
      </c>
      <c r="J12" s="196">
        <f t="shared" si="0"/>
        <v>2963</v>
      </c>
      <c r="K12" s="196">
        <f>SUM(K16,K20,K24,K28,K32,K36,K40,K44,K48,K52,K56,K60,K64,K68)</f>
        <v>19894</v>
      </c>
    </row>
    <row r="13" spans="1:12" ht="12.95" customHeight="1" x14ac:dyDescent="0.2">
      <c r="B13" s="194"/>
      <c r="C13" s="195"/>
      <c r="D13" s="63">
        <v>2017</v>
      </c>
      <c r="E13" s="196">
        <f>SUM(F13:K13)</f>
        <v>77802</v>
      </c>
      <c r="F13" s="196">
        <f t="shared" ref="F13:J14" si="1">SUM(F17,F21,F25,F29,F33,F37,F41,F45,F49,F53,F57,F61,F65,F69)</f>
        <v>16200</v>
      </c>
      <c r="G13" s="196">
        <f t="shared" si="1"/>
        <v>2102</v>
      </c>
      <c r="H13" s="196">
        <f t="shared" si="1"/>
        <v>8479</v>
      </c>
      <c r="I13" s="196">
        <f t="shared" si="1"/>
        <v>31577</v>
      </c>
      <c r="J13" s="196">
        <f t="shared" si="1"/>
        <v>240</v>
      </c>
      <c r="K13" s="196">
        <f>SUM(K17,K21,K25,K29,K33,K37,K41,K45,K49,K53,K57,K61,K65,K69)</f>
        <v>19204</v>
      </c>
    </row>
    <row r="14" spans="1:12" ht="12.95" customHeight="1" x14ac:dyDescent="0.2">
      <c r="B14" s="194"/>
      <c r="C14" s="195"/>
      <c r="D14" s="63">
        <v>2018</v>
      </c>
      <c r="E14" s="196">
        <f>SUM(F14:K14)</f>
        <v>71760</v>
      </c>
      <c r="F14" s="196">
        <f t="shared" si="1"/>
        <v>15742</v>
      </c>
      <c r="G14" s="196">
        <f t="shared" si="1"/>
        <v>1761</v>
      </c>
      <c r="H14" s="196">
        <f t="shared" si="1"/>
        <v>7413</v>
      </c>
      <c r="I14" s="196">
        <f t="shared" si="1"/>
        <v>26779</v>
      </c>
      <c r="J14" s="196">
        <f t="shared" si="1"/>
        <v>138</v>
      </c>
      <c r="K14" s="196">
        <f>SUM(K18,K22,K26,K30,K34,K38,K42,K46,K50,K54,K58,K62,K66,K70)</f>
        <v>19927</v>
      </c>
    </row>
    <row r="15" spans="1:12" ht="8.1" customHeight="1" x14ac:dyDescent="0.2">
      <c r="B15" s="194"/>
      <c r="C15" s="195"/>
      <c r="D15" s="168"/>
      <c r="E15" s="196"/>
      <c r="F15" s="196"/>
      <c r="G15" s="196"/>
      <c r="H15" s="196"/>
      <c r="I15" s="196"/>
      <c r="J15" s="196"/>
      <c r="K15" s="196"/>
    </row>
    <row r="16" spans="1:12" ht="12.95" customHeight="1" x14ac:dyDescent="0.2">
      <c r="B16" s="198" t="s">
        <v>97</v>
      </c>
      <c r="C16" s="199"/>
      <c r="D16" s="162">
        <v>2016</v>
      </c>
      <c r="E16" s="200">
        <f t="shared" ref="E16:E17" si="2">SUM(F16:K16)</f>
        <v>10121</v>
      </c>
      <c r="F16" s="200">
        <v>1475</v>
      </c>
      <c r="G16" s="200">
        <v>400</v>
      </c>
      <c r="H16" s="200">
        <v>1443</v>
      </c>
      <c r="I16" s="200">
        <v>4686</v>
      </c>
      <c r="J16" s="200">
        <v>44</v>
      </c>
      <c r="K16" s="200">
        <v>2073</v>
      </c>
    </row>
    <row r="17" spans="2:15" ht="12.95" customHeight="1" x14ac:dyDescent="0.2">
      <c r="B17" s="198"/>
      <c r="C17" s="199"/>
      <c r="D17" s="168">
        <v>2017</v>
      </c>
      <c r="E17" s="200">
        <f t="shared" si="2"/>
        <v>8729</v>
      </c>
      <c r="F17" s="200">
        <v>1211</v>
      </c>
      <c r="G17" s="200">
        <v>274</v>
      </c>
      <c r="H17" s="200">
        <v>1097</v>
      </c>
      <c r="I17" s="200">
        <v>4104</v>
      </c>
      <c r="J17" s="200">
        <v>11</v>
      </c>
      <c r="K17" s="200">
        <v>2032</v>
      </c>
    </row>
    <row r="18" spans="2:15" ht="12.95" customHeight="1" x14ac:dyDescent="0.2">
      <c r="B18" s="198"/>
      <c r="C18" s="199"/>
      <c r="D18" s="168">
        <v>2018</v>
      </c>
      <c r="E18" s="200">
        <f>SUM(F18:K18)</f>
        <v>8458</v>
      </c>
      <c r="F18" s="200">
        <v>1239</v>
      </c>
      <c r="G18" s="200">
        <v>278</v>
      </c>
      <c r="H18" s="200">
        <v>1035</v>
      </c>
      <c r="I18" s="200">
        <v>3881</v>
      </c>
      <c r="J18" s="200">
        <v>4</v>
      </c>
      <c r="K18" s="200">
        <v>2021</v>
      </c>
    </row>
    <row r="19" spans="2:15" ht="8.1" customHeight="1" x14ac:dyDescent="0.2">
      <c r="B19" s="198"/>
      <c r="C19" s="199"/>
      <c r="D19" s="168"/>
      <c r="E19" s="200"/>
      <c r="F19" s="200"/>
      <c r="G19" s="200"/>
      <c r="H19" s="200"/>
      <c r="I19" s="200"/>
      <c r="J19" s="200"/>
      <c r="K19" s="200"/>
    </row>
    <row r="20" spans="2:15" ht="12.95" customHeight="1" x14ac:dyDescent="0.2">
      <c r="B20" s="198" t="s">
        <v>99</v>
      </c>
      <c r="C20" s="199"/>
      <c r="D20" s="162">
        <v>2016</v>
      </c>
      <c r="E20" s="200">
        <f t="shared" ref="E20:E21" si="3">SUM(F20:K20)</f>
        <v>6201</v>
      </c>
      <c r="F20" s="200">
        <v>1287</v>
      </c>
      <c r="G20" s="200">
        <v>111</v>
      </c>
      <c r="H20" s="200">
        <v>497</v>
      </c>
      <c r="I20" s="200">
        <v>3125</v>
      </c>
      <c r="J20" s="200">
        <v>99</v>
      </c>
      <c r="K20" s="200">
        <v>1082</v>
      </c>
    </row>
    <row r="21" spans="2:15" ht="12.95" customHeight="1" x14ac:dyDescent="0.2">
      <c r="B21" s="198"/>
      <c r="C21" s="199"/>
      <c r="D21" s="168">
        <v>2017</v>
      </c>
      <c r="E21" s="200">
        <f t="shared" si="3"/>
        <v>5763</v>
      </c>
      <c r="F21" s="200">
        <v>1350</v>
      </c>
      <c r="G21" s="200">
        <v>81</v>
      </c>
      <c r="H21" s="200">
        <v>378</v>
      </c>
      <c r="I21" s="200">
        <v>2846</v>
      </c>
      <c r="J21" s="200">
        <v>29</v>
      </c>
      <c r="K21" s="200">
        <v>1079</v>
      </c>
    </row>
    <row r="22" spans="2:15" ht="12.95" customHeight="1" x14ac:dyDescent="0.2">
      <c r="B22" s="198"/>
      <c r="C22" s="199"/>
      <c r="D22" s="168">
        <v>2018</v>
      </c>
      <c r="E22" s="200">
        <f>SUM(F22:K22)</f>
        <v>5232</v>
      </c>
      <c r="F22" s="200">
        <v>1130</v>
      </c>
      <c r="G22" s="200">
        <v>56</v>
      </c>
      <c r="H22" s="200">
        <v>366</v>
      </c>
      <c r="I22" s="200">
        <v>2579</v>
      </c>
      <c r="J22" s="200">
        <v>12</v>
      </c>
      <c r="K22" s="200">
        <v>1089</v>
      </c>
    </row>
    <row r="23" spans="2:15" ht="8.1" customHeight="1" x14ac:dyDescent="0.2">
      <c r="B23" s="198"/>
      <c r="C23" s="199"/>
      <c r="D23" s="168"/>
      <c r="E23" s="200"/>
      <c r="F23" s="200"/>
      <c r="G23" s="200"/>
      <c r="H23" s="200"/>
      <c r="I23" s="200"/>
      <c r="J23" s="200"/>
      <c r="K23" s="200"/>
    </row>
    <row r="24" spans="2:15" ht="12.95" customHeight="1" x14ac:dyDescent="0.2">
      <c r="B24" s="198" t="s">
        <v>188</v>
      </c>
      <c r="C24" s="199"/>
      <c r="D24" s="162">
        <v>2016</v>
      </c>
      <c r="E24" s="200">
        <f t="shared" ref="E24:E25" si="4">SUM(F24:K24)</f>
        <v>4005</v>
      </c>
      <c r="F24" s="200">
        <v>682</v>
      </c>
      <c r="G24" s="200">
        <v>90</v>
      </c>
      <c r="H24" s="200">
        <v>614</v>
      </c>
      <c r="I24" s="200">
        <v>1945</v>
      </c>
      <c r="J24" s="200">
        <v>61</v>
      </c>
      <c r="K24" s="200">
        <v>613</v>
      </c>
    </row>
    <row r="25" spans="2:15" s="3" customFormat="1" ht="12.95" customHeight="1" x14ac:dyDescent="0.2">
      <c r="B25" s="198"/>
      <c r="C25" s="199"/>
      <c r="D25" s="168">
        <v>2017</v>
      </c>
      <c r="E25" s="200">
        <f t="shared" si="4"/>
        <v>3920</v>
      </c>
      <c r="F25" s="200">
        <v>570</v>
      </c>
      <c r="G25" s="200">
        <v>98</v>
      </c>
      <c r="H25" s="200">
        <v>722</v>
      </c>
      <c r="I25" s="200">
        <v>1983</v>
      </c>
      <c r="J25" s="200">
        <v>0</v>
      </c>
      <c r="K25" s="200">
        <v>547</v>
      </c>
      <c r="L25" s="2"/>
      <c r="M25" s="2"/>
      <c r="N25" s="2"/>
      <c r="O25" s="2"/>
    </row>
    <row r="26" spans="2:15" ht="12.95" customHeight="1" x14ac:dyDescent="0.2">
      <c r="B26" s="198"/>
      <c r="C26" s="199"/>
      <c r="D26" s="168">
        <v>2018</v>
      </c>
      <c r="E26" s="200">
        <f>SUM(F26:K26)</f>
        <v>3476</v>
      </c>
      <c r="F26" s="200">
        <v>699</v>
      </c>
      <c r="G26" s="200">
        <v>64</v>
      </c>
      <c r="H26" s="200">
        <v>489</v>
      </c>
      <c r="I26" s="200">
        <v>1611</v>
      </c>
      <c r="J26" s="200">
        <v>0</v>
      </c>
      <c r="K26" s="200">
        <v>613</v>
      </c>
    </row>
    <row r="27" spans="2:15" ht="8.1" customHeight="1" x14ac:dyDescent="0.2">
      <c r="B27" s="198"/>
      <c r="C27" s="199"/>
      <c r="D27" s="168"/>
      <c r="E27" s="200"/>
      <c r="F27" s="200"/>
      <c r="G27" s="200"/>
      <c r="H27" s="200"/>
      <c r="I27" s="200"/>
      <c r="J27" s="200"/>
      <c r="K27" s="200"/>
    </row>
    <row r="28" spans="2:15" ht="12.95" customHeight="1" x14ac:dyDescent="0.2">
      <c r="B28" s="198" t="s">
        <v>189</v>
      </c>
      <c r="C28" s="199"/>
      <c r="D28" s="162">
        <v>2016</v>
      </c>
      <c r="E28" s="200">
        <f t="shared" ref="E28:E29" si="5">SUM(F28:K28)</f>
        <v>2510</v>
      </c>
      <c r="F28" s="200">
        <v>544</v>
      </c>
      <c r="G28" s="200">
        <v>25</v>
      </c>
      <c r="H28" s="200">
        <v>170</v>
      </c>
      <c r="I28" s="200">
        <v>1246</v>
      </c>
      <c r="J28" s="200">
        <v>6</v>
      </c>
      <c r="K28" s="200">
        <v>519</v>
      </c>
    </row>
    <row r="29" spans="2:15" ht="12.95" customHeight="1" x14ac:dyDescent="0.2">
      <c r="B29" s="198"/>
      <c r="C29" s="199"/>
      <c r="D29" s="168">
        <v>2017</v>
      </c>
      <c r="E29" s="200">
        <f t="shared" si="5"/>
        <v>2255</v>
      </c>
      <c r="F29" s="200">
        <v>567</v>
      </c>
      <c r="G29" s="200">
        <v>27</v>
      </c>
      <c r="H29" s="200">
        <v>112</v>
      </c>
      <c r="I29" s="200">
        <v>1101</v>
      </c>
      <c r="J29" s="200">
        <v>2</v>
      </c>
      <c r="K29" s="200">
        <v>446</v>
      </c>
    </row>
    <row r="30" spans="2:15" ht="12.95" customHeight="1" x14ac:dyDescent="0.2">
      <c r="B30" s="198"/>
      <c r="C30" s="199"/>
      <c r="D30" s="168">
        <v>2018</v>
      </c>
      <c r="E30" s="200">
        <f>SUM(F30:K30)</f>
        <v>2179</v>
      </c>
      <c r="F30" s="200">
        <v>591</v>
      </c>
      <c r="G30" s="200">
        <v>20</v>
      </c>
      <c r="H30" s="200">
        <v>104</v>
      </c>
      <c r="I30" s="200">
        <v>1030</v>
      </c>
      <c r="J30" s="200" t="s">
        <v>51</v>
      </c>
      <c r="K30" s="200">
        <v>434</v>
      </c>
    </row>
    <row r="31" spans="2:15" ht="8.1" customHeight="1" x14ac:dyDescent="0.2">
      <c r="B31" s="198"/>
      <c r="C31" s="199"/>
      <c r="D31" s="168"/>
      <c r="E31" s="200"/>
      <c r="F31" s="200"/>
      <c r="G31" s="200"/>
      <c r="H31" s="200"/>
      <c r="I31" s="200"/>
      <c r="J31" s="200"/>
      <c r="K31" s="200"/>
    </row>
    <row r="32" spans="2:15" ht="12.95" customHeight="1" x14ac:dyDescent="0.2">
      <c r="B32" s="198" t="s">
        <v>31</v>
      </c>
      <c r="C32" s="199"/>
      <c r="D32" s="162">
        <v>2016</v>
      </c>
      <c r="E32" s="200">
        <f t="shared" ref="E32:E33" si="6">SUM(F32:K32)</f>
        <v>3390</v>
      </c>
      <c r="F32" s="200">
        <v>1023</v>
      </c>
      <c r="G32" s="200">
        <v>116</v>
      </c>
      <c r="H32" s="200">
        <v>177</v>
      </c>
      <c r="I32" s="200">
        <v>1053</v>
      </c>
      <c r="J32" s="200">
        <v>6</v>
      </c>
      <c r="K32" s="200">
        <v>1015</v>
      </c>
    </row>
    <row r="33" spans="2:11" ht="12.95" customHeight="1" x14ac:dyDescent="0.2">
      <c r="B33" s="198"/>
      <c r="C33" s="199"/>
      <c r="D33" s="168">
        <v>2017</v>
      </c>
      <c r="E33" s="200">
        <f t="shared" si="6"/>
        <v>3089</v>
      </c>
      <c r="F33" s="200">
        <v>895</v>
      </c>
      <c r="G33" s="200">
        <v>64</v>
      </c>
      <c r="H33" s="200">
        <v>170</v>
      </c>
      <c r="I33" s="200">
        <v>839</v>
      </c>
      <c r="J33" s="200" t="s">
        <v>51</v>
      </c>
      <c r="K33" s="200">
        <v>1121</v>
      </c>
    </row>
    <row r="34" spans="2:11" ht="12.95" customHeight="1" x14ac:dyDescent="0.2">
      <c r="B34" s="198"/>
      <c r="C34" s="199"/>
      <c r="D34" s="168">
        <v>2018</v>
      </c>
      <c r="E34" s="200">
        <f>SUM(F34:K34)</f>
        <v>2842</v>
      </c>
      <c r="F34" s="200">
        <v>873</v>
      </c>
      <c r="G34" s="200">
        <v>60</v>
      </c>
      <c r="H34" s="200">
        <v>151</v>
      </c>
      <c r="I34" s="200">
        <v>711</v>
      </c>
      <c r="J34" s="200">
        <v>1</v>
      </c>
      <c r="K34" s="200">
        <v>1046</v>
      </c>
    </row>
    <row r="35" spans="2:11" ht="8.1" customHeight="1" x14ac:dyDescent="0.2">
      <c r="B35" s="198"/>
      <c r="C35" s="199"/>
      <c r="D35" s="168"/>
      <c r="E35" s="200"/>
      <c r="F35" s="200"/>
      <c r="G35" s="200"/>
      <c r="H35" s="200"/>
      <c r="I35" s="200"/>
      <c r="J35" s="200"/>
      <c r="K35" s="200"/>
    </row>
    <row r="36" spans="2:11" ht="12.95" customHeight="1" x14ac:dyDescent="0.2">
      <c r="B36" s="198" t="s">
        <v>100</v>
      </c>
      <c r="C36" s="199"/>
      <c r="D36" s="162">
        <v>2016</v>
      </c>
      <c r="E36" s="200">
        <f t="shared" ref="E36:E37" si="7">SUM(F36:K36)</f>
        <v>3126</v>
      </c>
      <c r="F36" s="200">
        <v>719</v>
      </c>
      <c r="G36" s="200">
        <v>103</v>
      </c>
      <c r="H36" s="200">
        <v>254</v>
      </c>
      <c r="I36" s="200">
        <v>1399</v>
      </c>
      <c r="J36" s="200">
        <v>29</v>
      </c>
      <c r="K36" s="200">
        <v>622</v>
      </c>
    </row>
    <row r="37" spans="2:11" ht="12.95" customHeight="1" x14ac:dyDescent="0.2">
      <c r="B37" s="198"/>
      <c r="C37" s="199"/>
      <c r="D37" s="168">
        <v>2017</v>
      </c>
      <c r="E37" s="200">
        <f t="shared" si="7"/>
        <v>2951</v>
      </c>
      <c r="F37" s="200">
        <v>794</v>
      </c>
      <c r="G37" s="200">
        <v>58</v>
      </c>
      <c r="H37" s="200">
        <v>214</v>
      </c>
      <c r="I37" s="200">
        <v>1173</v>
      </c>
      <c r="J37" s="200">
        <v>5</v>
      </c>
      <c r="K37" s="200">
        <v>707</v>
      </c>
    </row>
    <row r="38" spans="2:11" ht="12.95" customHeight="1" x14ac:dyDescent="0.2">
      <c r="B38" s="198"/>
      <c r="C38" s="199"/>
      <c r="D38" s="168">
        <v>2018</v>
      </c>
      <c r="E38" s="200">
        <f>SUM(F38:K38)</f>
        <v>3012</v>
      </c>
      <c r="F38" s="200">
        <v>861</v>
      </c>
      <c r="G38" s="200">
        <v>60</v>
      </c>
      <c r="H38" s="200">
        <v>155</v>
      </c>
      <c r="I38" s="200">
        <v>793</v>
      </c>
      <c r="J38" s="200">
        <v>1</v>
      </c>
      <c r="K38" s="200">
        <v>1142</v>
      </c>
    </row>
    <row r="39" spans="2:11" ht="8.1" customHeight="1" x14ac:dyDescent="0.2">
      <c r="B39" s="198"/>
      <c r="C39" s="199"/>
      <c r="D39" s="168"/>
      <c r="E39" s="200"/>
      <c r="F39" s="200"/>
      <c r="G39" s="200"/>
      <c r="H39" s="200"/>
      <c r="I39" s="200"/>
      <c r="J39" s="200"/>
      <c r="K39" s="200"/>
    </row>
    <row r="40" spans="2:11" ht="12.95" customHeight="1" x14ac:dyDescent="0.2">
      <c r="B40" s="198" t="s">
        <v>176</v>
      </c>
      <c r="C40" s="199"/>
      <c r="D40" s="162">
        <v>2016</v>
      </c>
      <c r="E40" s="200">
        <f>SUM(F40:K40)</f>
        <v>4546</v>
      </c>
      <c r="F40" s="200">
        <v>915</v>
      </c>
      <c r="G40" s="200">
        <v>118</v>
      </c>
      <c r="H40" s="200">
        <v>386</v>
      </c>
      <c r="I40" s="200">
        <v>2112</v>
      </c>
      <c r="J40" s="200">
        <v>60</v>
      </c>
      <c r="K40" s="200">
        <v>955</v>
      </c>
    </row>
    <row r="41" spans="2:11" ht="12.95" customHeight="1" x14ac:dyDescent="0.2">
      <c r="B41" s="198"/>
      <c r="C41" s="199"/>
      <c r="D41" s="168">
        <v>2017</v>
      </c>
      <c r="E41" s="200">
        <f>SUM(F41:K41)</f>
        <v>4186</v>
      </c>
      <c r="F41" s="200">
        <v>859</v>
      </c>
      <c r="G41" s="200">
        <v>81</v>
      </c>
      <c r="H41" s="200">
        <v>321</v>
      </c>
      <c r="I41" s="200">
        <v>1912</v>
      </c>
      <c r="J41" s="200">
        <v>10</v>
      </c>
      <c r="K41" s="200">
        <v>1003</v>
      </c>
    </row>
    <row r="42" spans="2:11" ht="12.95" customHeight="1" x14ac:dyDescent="0.2">
      <c r="B42" s="198"/>
      <c r="C42" s="199"/>
      <c r="D42" s="168">
        <v>2018</v>
      </c>
      <c r="E42" s="200">
        <f>SUM(F42:K42)</f>
        <v>4123</v>
      </c>
      <c r="F42" s="200">
        <v>1023</v>
      </c>
      <c r="G42" s="200">
        <v>101</v>
      </c>
      <c r="H42" s="200">
        <v>286</v>
      </c>
      <c r="I42" s="200">
        <v>1672</v>
      </c>
      <c r="J42" s="200">
        <v>9</v>
      </c>
      <c r="K42" s="200">
        <v>1032</v>
      </c>
    </row>
    <row r="43" spans="2:11" ht="8.1" customHeight="1" x14ac:dyDescent="0.2">
      <c r="B43" s="198"/>
      <c r="C43" s="199"/>
      <c r="D43" s="168"/>
      <c r="E43" s="200"/>
      <c r="F43" s="200"/>
      <c r="G43" s="200"/>
      <c r="H43" s="200"/>
      <c r="I43" s="200"/>
      <c r="J43" s="200"/>
      <c r="K43" s="200"/>
    </row>
    <row r="44" spans="2:11" ht="12.95" customHeight="1" x14ac:dyDescent="0.2">
      <c r="B44" s="198" t="s">
        <v>49</v>
      </c>
      <c r="C44" s="199"/>
      <c r="D44" s="162">
        <v>2016</v>
      </c>
      <c r="E44" s="200">
        <f>SUM(F44:K44)</f>
        <v>546</v>
      </c>
      <c r="F44" s="200">
        <v>85</v>
      </c>
      <c r="G44" s="200">
        <v>4</v>
      </c>
      <c r="H44" s="200">
        <v>20</v>
      </c>
      <c r="I44" s="200">
        <v>228</v>
      </c>
      <c r="J44" s="200">
        <v>17</v>
      </c>
      <c r="K44" s="200">
        <v>192</v>
      </c>
    </row>
    <row r="45" spans="2:11" ht="12.95" customHeight="1" x14ac:dyDescent="0.2">
      <c r="B45" s="198"/>
      <c r="C45" s="199"/>
      <c r="D45" s="168">
        <v>2017</v>
      </c>
      <c r="E45" s="200">
        <f>SUM(F45:K45)</f>
        <v>471</v>
      </c>
      <c r="F45" s="200">
        <v>87</v>
      </c>
      <c r="G45" s="200">
        <v>5</v>
      </c>
      <c r="H45" s="200">
        <v>11</v>
      </c>
      <c r="I45" s="200">
        <v>186</v>
      </c>
      <c r="J45" s="200">
        <v>1</v>
      </c>
      <c r="K45" s="200">
        <v>181</v>
      </c>
    </row>
    <row r="46" spans="2:11" ht="12.95" customHeight="1" x14ac:dyDescent="0.2">
      <c r="B46" s="198"/>
      <c r="C46" s="199"/>
      <c r="D46" s="168">
        <v>2018</v>
      </c>
      <c r="E46" s="200">
        <f>SUM(F46:K46)</f>
        <v>437</v>
      </c>
      <c r="F46" s="200">
        <v>54</v>
      </c>
      <c r="G46" s="200">
        <v>2</v>
      </c>
      <c r="H46" s="200">
        <v>14</v>
      </c>
      <c r="I46" s="200">
        <v>175</v>
      </c>
      <c r="J46" s="200" t="s">
        <v>51</v>
      </c>
      <c r="K46" s="200">
        <v>192</v>
      </c>
    </row>
    <row r="47" spans="2:11" ht="8.1" customHeight="1" x14ac:dyDescent="0.2">
      <c r="B47" s="198"/>
      <c r="C47" s="199"/>
      <c r="D47" s="168"/>
      <c r="E47" s="200"/>
      <c r="F47" s="200"/>
      <c r="G47" s="200"/>
      <c r="H47" s="200"/>
      <c r="I47" s="200"/>
      <c r="J47" s="200"/>
      <c r="K47" s="200"/>
    </row>
    <row r="48" spans="2:11" ht="12.95" customHeight="1" x14ac:dyDescent="0.2">
      <c r="B48" s="198" t="s">
        <v>50</v>
      </c>
      <c r="C48" s="199"/>
      <c r="D48" s="162">
        <v>2016</v>
      </c>
      <c r="E48" s="200">
        <f>SUM(F48:K48)</f>
        <v>5078</v>
      </c>
      <c r="F48" s="200">
        <v>917</v>
      </c>
      <c r="G48" s="200">
        <v>110</v>
      </c>
      <c r="H48" s="200">
        <v>449</v>
      </c>
      <c r="I48" s="200">
        <v>2401</v>
      </c>
      <c r="J48" s="200">
        <v>191</v>
      </c>
      <c r="K48" s="200">
        <v>1010</v>
      </c>
    </row>
    <row r="49" spans="2:11" ht="12.95" customHeight="1" x14ac:dyDescent="0.2">
      <c r="B49" s="198"/>
      <c r="C49" s="199"/>
      <c r="D49" s="168">
        <v>2017</v>
      </c>
      <c r="E49" s="200">
        <f>SUM(F49:K49)</f>
        <v>4473</v>
      </c>
      <c r="F49" s="200">
        <v>868</v>
      </c>
      <c r="G49" s="200">
        <v>66</v>
      </c>
      <c r="H49" s="200">
        <v>356</v>
      </c>
      <c r="I49" s="200">
        <v>2322</v>
      </c>
      <c r="J49" s="200">
        <v>11</v>
      </c>
      <c r="K49" s="200">
        <v>850</v>
      </c>
    </row>
    <row r="50" spans="2:11" ht="12.95" customHeight="1" x14ac:dyDescent="0.2">
      <c r="B50" s="198"/>
      <c r="C50" s="199"/>
      <c r="D50" s="168">
        <v>2018</v>
      </c>
      <c r="E50" s="200">
        <f>SUM(F50:K50)</f>
        <v>4127</v>
      </c>
      <c r="F50" s="200">
        <v>855</v>
      </c>
      <c r="G50" s="200">
        <v>76</v>
      </c>
      <c r="H50" s="200">
        <v>350</v>
      </c>
      <c r="I50" s="200">
        <v>1986</v>
      </c>
      <c r="J50" s="200">
        <v>12</v>
      </c>
      <c r="K50" s="200">
        <v>848</v>
      </c>
    </row>
    <row r="51" spans="2:11" ht="8.1" customHeight="1" x14ac:dyDescent="0.2">
      <c r="B51" s="198"/>
      <c r="C51" s="199"/>
      <c r="D51" s="168"/>
      <c r="E51" s="200"/>
      <c r="F51" s="200"/>
      <c r="G51" s="200"/>
      <c r="H51" s="200"/>
      <c r="I51" s="200"/>
      <c r="J51" s="200"/>
      <c r="K51" s="200"/>
    </row>
    <row r="52" spans="2:11" ht="12.95" customHeight="1" x14ac:dyDescent="0.2">
      <c r="B52" s="106" t="s">
        <v>264</v>
      </c>
      <c r="C52" s="199"/>
      <c r="D52" s="162">
        <v>2016</v>
      </c>
      <c r="E52" s="200">
        <f>SUM(F52:K52)</f>
        <v>4720</v>
      </c>
      <c r="F52" s="200">
        <v>1757</v>
      </c>
      <c r="G52" s="200">
        <v>136</v>
      </c>
      <c r="H52" s="200">
        <v>233</v>
      </c>
      <c r="I52" s="200">
        <v>850</v>
      </c>
      <c r="J52" s="200">
        <v>96</v>
      </c>
      <c r="K52" s="200">
        <v>1648</v>
      </c>
    </row>
    <row r="53" spans="2:11" ht="12.95" customHeight="1" x14ac:dyDescent="0.2">
      <c r="B53" s="198"/>
      <c r="C53" s="199"/>
      <c r="D53" s="168">
        <v>2017</v>
      </c>
      <c r="E53" s="200">
        <f>SUM(F53:K53)</f>
        <v>5475</v>
      </c>
      <c r="F53" s="200">
        <v>1908</v>
      </c>
      <c r="G53" s="200">
        <v>116</v>
      </c>
      <c r="H53" s="200">
        <v>244</v>
      </c>
      <c r="I53" s="200">
        <v>666</v>
      </c>
      <c r="J53" s="200">
        <v>23</v>
      </c>
      <c r="K53" s="200">
        <v>2518</v>
      </c>
    </row>
    <row r="54" spans="2:11" ht="12.95" customHeight="1" x14ac:dyDescent="0.2">
      <c r="B54" s="198"/>
      <c r="C54" s="199"/>
      <c r="D54" s="168">
        <v>2018</v>
      </c>
      <c r="E54" s="200">
        <f>SUM(F54:K54)</f>
        <v>5571</v>
      </c>
      <c r="F54" s="200">
        <v>1881</v>
      </c>
      <c r="G54" s="200">
        <v>74</v>
      </c>
      <c r="H54" s="200">
        <v>160</v>
      </c>
      <c r="I54" s="200">
        <v>504</v>
      </c>
      <c r="J54" s="200">
        <v>6</v>
      </c>
      <c r="K54" s="200">
        <v>2946</v>
      </c>
    </row>
    <row r="55" spans="2:11" ht="8.1" customHeight="1" x14ac:dyDescent="0.2">
      <c r="B55" s="198"/>
      <c r="C55" s="199"/>
      <c r="D55" s="168"/>
      <c r="E55" s="200"/>
      <c r="F55" s="200"/>
      <c r="G55" s="200"/>
      <c r="H55" s="200"/>
      <c r="I55" s="200"/>
      <c r="J55" s="200"/>
      <c r="K55" s="200"/>
    </row>
    <row r="56" spans="2:11" ht="12.95" customHeight="1" x14ac:dyDescent="0.2">
      <c r="B56" s="198" t="s">
        <v>126</v>
      </c>
      <c r="C56" s="199"/>
      <c r="D56" s="162">
        <v>2016</v>
      </c>
      <c r="E56" s="200">
        <f>SUM(F56:K56)</f>
        <v>5873</v>
      </c>
      <c r="F56" s="200">
        <v>1540</v>
      </c>
      <c r="G56" s="200">
        <v>174</v>
      </c>
      <c r="H56" s="200">
        <v>748</v>
      </c>
      <c r="I56" s="200">
        <v>2006</v>
      </c>
      <c r="J56" s="200">
        <v>75</v>
      </c>
      <c r="K56" s="200">
        <v>1330</v>
      </c>
    </row>
    <row r="57" spans="2:11" ht="12.95" customHeight="1" x14ac:dyDescent="0.2">
      <c r="B57" s="198"/>
      <c r="C57" s="199"/>
      <c r="D57" s="168">
        <v>2017</v>
      </c>
      <c r="E57" s="200">
        <f>SUM(F57:K57)</f>
        <v>5505</v>
      </c>
      <c r="F57" s="200">
        <v>1314</v>
      </c>
      <c r="G57" s="200">
        <v>75</v>
      </c>
      <c r="H57" s="200">
        <v>574</v>
      </c>
      <c r="I57" s="200">
        <v>2258</v>
      </c>
      <c r="J57" s="200">
        <v>1</v>
      </c>
      <c r="K57" s="200">
        <v>1283</v>
      </c>
    </row>
    <row r="58" spans="2:11" ht="12.95" customHeight="1" x14ac:dyDescent="0.2">
      <c r="B58" s="198"/>
      <c r="C58" s="199"/>
      <c r="D58" s="168">
        <v>2018</v>
      </c>
      <c r="E58" s="200">
        <f>SUM(F58:K58)</f>
        <v>5019</v>
      </c>
      <c r="F58" s="200">
        <v>1497</v>
      </c>
      <c r="G58" s="200">
        <v>53</v>
      </c>
      <c r="H58" s="200">
        <v>386</v>
      </c>
      <c r="I58" s="200">
        <v>1692</v>
      </c>
      <c r="J58" s="200">
        <v>2</v>
      </c>
      <c r="K58" s="200">
        <v>1389</v>
      </c>
    </row>
    <row r="59" spans="2:11" ht="8.1" customHeight="1" x14ac:dyDescent="0.2">
      <c r="B59" s="198"/>
      <c r="C59" s="199"/>
      <c r="D59" s="168"/>
      <c r="E59" s="200"/>
      <c r="F59" s="200"/>
      <c r="G59" s="200"/>
      <c r="H59" s="200"/>
      <c r="I59" s="200"/>
      <c r="J59" s="200"/>
      <c r="K59" s="200"/>
    </row>
    <row r="60" spans="2:11" ht="12.95" customHeight="1" x14ac:dyDescent="0.2">
      <c r="B60" s="198" t="s">
        <v>102</v>
      </c>
      <c r="C60" s="199"/>
      <c r="D60" s="162">
        <v>2016</v>
      </c>
      <c r="E60" s="200">
        <f>SUM(F60:K60)</f>
        <v>24612</v>
      </c>
      <c r="F60" s="200">
        <v>5497</v>
      </c>
      <c r="G60" s="200">
        <v>1140</v>
      </c>
      <c r="H60" s="200">
        <v>3309</v>
      </c>
      <c r="I60" s="200">
        <v>8890</v>
      </c>
      <c r="J60" s="200">
        <v>983</v>
      </c>
      <c r="K60" s="200">
        <v>4793</v>
      </c>
    </row>
    <row r="61" spans="2:11" ht="12.95" customHeight="1" x14ac:dyDescent="0.2">
      <c r="B61" s="198"/>
      <c r="C61" s="199"/>
      <c r="D61" s="168">
        <v>2017</v>
      </c>
      <c r="E61" s="200">
        <f>SUM(F61:K61)</f>
        <v>19599</v>
      </c>
      <c r="F61" s="200">
        <v>4133</v>
      </c>
      <c r="G61" s="200">
        <v>844</v>
      </c>
      <c r="H61" s="200">
        <v>2586</v>
      </c>
      <c r="I61" s="200">
        <v>7945</v>
      </c>
      <c r="J61" s="200">
        <v>140</v>
      </c>
      <c r="K61" s="200">
        <v>3951</v>
      </c>
    </row>
    <row r="62" spans="2:11" ht="12.95" customHeight="1" x14ac:dyDescent="0.2">
      <c r="B62" s="198"/>
      <c r="C62" s="199"/>
      <c r="D62" s="168">
        <v>2018</v>
      </c>
      <c r="E62" s="200">
        <f>SUM(F62:K62)</f>
        <v>16762</v>
      </c>
      <c r="F62" s="200">
        <v>3515</v>
      </c>
      <c r="G62" s="200">
        <v>654</v>
      </c>
      <c r="H62" s="200">
        <v>2358</v>
      </c>
      <c r="I62" s="200">
        <v>6510</v>
      </c>
      <c r="J62" s="200">
        <v>87</v>
      </c>
      <c r="K62" s="200">
        <v>3638</v>
      </c>
    </row>
    <row r="63" spans="2:11" ht="8.1" customHeight="1" x14ac:dyDescent="0.2">
      <c r="B63" s="198"/>
      <c r="C63" s="199"/>
      <c r="D63" s="168"/>
      <c r="E63" s="200"/>
      <c r="F63" s="200"/>
      <c r="G63" s="200"/>
      <c r="H63" s="200"/>
      <c r="I63" s="200"/>
      <c r="J63" s="200"/>
      <c r="K63" s="200"/>
    </row>
    <row r="64" spans="2:11" ht="12.95" customHeight="1" x14ac:dyDescent="0.2">
      <c r="B64" s="198" t="s">
        <v>118</v>
      </c>
      <c r="C64" s="199"/>
      <c r="D64" s="162">
        <v>2016</v>
      </c>
      <c r="E64" s="200">
        <f>SUM(F64:K64)</f>
        <v>2087</v>
      </c>
      <c r="F64" s="200">
        <v>452</v>
      </c>
      <c r="G64" s="200">
        <v>28</v>
      </c>
      <c r="H64" s="200">
        <v>203</v>
      </c>
      <c r="I64" s="200">
        <v>949</v>
      </c>
      <c r="J64" s="200">
        <v>8</v>
      </c>
      <c r="K64" s="200">
        <v>447</v>
      </c>
    </row>
    <row r="65" spans="1:11" ht="12.95" customHeight="1" x14ac:dyDescent="0.2">
      <c r="B65" s="198"/>
      <c r="C65" s="199"/>
      <c r="D65" s="168">
        <v>2017</v>
      </c>
      <c r="E65" s="200">
        <f>SUM(F65:K65)</f>
        <v>1903</v>
      </c>
      <c r="F65" s="200">
        <v>456</v>
      </c>
      <c r="G65" s="200">
        <v>22</v>
      </c>
      <c r="H65" s="200">
        <v>146</v>
      </c>
      <c r="I65" s="200">
        <v>914</v>
      </c>
      <c r="J65" s="200" t="s">
        <v>51</v>
      </c>
      <c r="K65" s="200">
        <v>365</v>
      </c>
    </row>
    <row r="66" spans="1:11" ht="12.95" customHeight="1" x14ac:dyDescent="0.2">
      <c r="B66" s="198"/>
      <c r="C66" s="199"/>
      <c r="D66" s="168">
        <v>2018</v>
      </c>
      <c r="E66" s="200">
        <f>SUM(F66:K66)</f>
        <v>1532</v>
      </c>
      <c r="F66" s="200">
        <v>420</v>
      </c>
      <c r="G66" s="200">
        <v>10</v>
      </c>
      <c r="H66" s="200">
        <v>77</v>
      </c>
      <c r="I66" s="200">
        <v>605</v>
      </c>
      <c r="J66" s="200">
        <v>1</v>
      </c>
      <c r="K66" s="200">
        <v>419</v>
      </c>
    </row>
    <row r="67" spans="1:11" ht="8.1" customHeight="1" x14ac:dyDescent="0.2">
      <c r="B67" s="198"/>
      <c r="C67" s="199"/>
      <c r="D67" s="168"/>
      <c r="E67" s="200"/>
      <c r="F67" s="200"/>
      <c r="G67" s="200"/>
      <c r="H67" s="200"/>
      <c r="I67" s="200"/>
      <c r="J67" s="200"/>
      <c r="K67" s="200"/>
    </row>
    <row r="68" spans="1:11" ht="12.95" customHeight="1" x14ac:dyDescent="0.2">
      <c r="B68" s="106" t="s">
        <v>263</v>
      </c>
      <c r="C68" s="199"/>
      <c r="D68" s="162">
        <v>2016</v>
      </c>
      <c r="E68" s="200">
        <f>SUM(F68:K68)</f>
        <v>13213</v>
      </c>
      <c r="F68" s="200">
        <v>1867</v>
      </c>
      <c r="G68" s="200">
        <v>495</v>
      </c>
      <c r="H68" s="200">
        <v>2104</v>
      </c>
      <c r="I68" s="200">
        <v>3864</v>
      </c>
      <c r="J68" s="200">
        <v>1288</v>
      </c>
      <c r="K68" s="200">
        <v>3595</v>
      </c>
    </row>
    <row r="69" spans="1:11" ht="12.95" customHeight="1" x14ac:dyDescent="0.2">
      <c r="B69" s="198"/>
      <c r="C69" s="199"/>
      <c r="D69" s="168">
        <v>2017</v>
      </c>
      <c r="E69" s="200">
        <f>SUM(F69:K69)</f>
        <v>9483</v>
      </c>
      <c r="F69" s="200">
        <v>1188</v>
      </c>
      <c r="G69" s="200">
        <v>291</v>
      </c>
      <c r="H69" s="200">
        <v>1548</v>
      </c>
      <c r="I69" s="200">
        <v>3328</v>
      </c>
      <c r="J69" s="200">
        <v>7</v>
      </c>
      <c r="K69" s="200">
        <v>3121</v>
      </c>
    </row>
    <row r="70" spans="1:11" ht="12.95" customHeight="1" x14ac:dyDescent="0.2">
      <c r="A70" s="7"/>
      <c r="B70" s="198"/>
      <c r="C70" s="199"/>
      <c r="D70" s="162">
        <v>2018</v>
      </c>
      <c r="E70" s="200">
        <f>SUM(F70:K70)</f>
        <v>8990</v>
      </c>
      <c r="F70" s="200">
        <v>1104</v>
      </c>
      <c r="G70" s="200">
        <v>253</v>
      </c>
      <c r="H70" s="200">
        <v>1482</v>
      </c>
      <c r="I70" s="200">
        <v>3030</v>
      </c>
      <c r="J70" s="200">
        <v>3</v>
      </c>
      <c r="K70" s="200">
        <v>3118</v>
      </c>
    </row>
    <row r="71" spans="1:11" ht="8.1" customHeight="1" thickBot="1" x14ac:dyDescent="0.25">
      <c r="A71" s="34"/>
      <c r="B71" s="210"/>
      <c r="C71" s="211"/>
      <c r="D71" s="211"/>
      <c r="E71" s="212"/>
      <c r="F71" s="212"/>
      <c r="G71" s="212"/>
      <c r="H71" s="212"/>
      <c r="I71" s="212"/>
      <c r="J71" s="212"/>
      <c r="K71" s="212"/>
    </row>
    <row r="72" spans="1:11" s="30" customFormat="1" x14ac:dyDescent="0.2">
      <c r="B72" s="27"/>
      <c r="C72" s="27"/>
      <c r="D72" s="27"/>
      <c r="E72" s="27"/>
      <c r="F72" s="28"/>
      <c r="G72" s="29"/>
      <c r="H72" s="29"/>
      <c r="I72" s="29"/>
      <c r="K72" s="190" t="s">
        <v>101</v>
      </c>
    </row>
    <row r="73" spans="1:11" s="30" customFormat="1" x14ac:dyDescent="0.25">
      <c r="A73" s="451" t="s">
        <v>265</v>
      </c>
      <c r="B73" s="27"/>
      <c r="C73" s="27"/>
      <c r="D73" s="27"/>
      <c r="E73" s="27"/>
      <c r="F73" s="28"/>
      <c r="G73" s="29"/>
      <c r="H73" s="29"/>
      <c r="I73" s="29"/>
      <c r="K73" s="191" t="s">
        <v>1</v>
      </c>
    </row>
    <row r="74" spans="1:11" x14ac:dyDescent="0.25">
      <c r="A74" s="452" t="s">
        <v>266</v>
      </c>
    </row>
    <row r="75" spans="1:11" x14ac:dyDescent="0.25">
      <c r="A75" s="455" t="s">
        <v>267</v>
      </c>
    </row>
    <row r="76" spans="1:11" x14ac:dyDescent="0.25">
      <c r="A76" s="452" t="s">
        <v>268</v>
      </c>
    </row>
    <row r="77" spans="1:11" x14ac:dyDescent="0.25">
      <c r="A77" s="455" t="s">
        <v>269</v>
      </c>
    </row>
  </sheetData>
  <mergeCells count="6">
    <mergeCell ref="E8:K8"/>
    <mergeCell ref="E9:E10"/>
    <mergeCell ref="F9:F10"/>
    <mergeCell ref="G9:I9"/>
    <mergeCell ref="J9:J10"/>
    <mergeCell ref="K9:K10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fitToWidth="0" orientation="portrait" r:id="rId1"/>
  <headerFooter>
    <oddHeader xml:space="preserve">&amp;R&amp;"-,Bold"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4"/>
  <sheetViews>
    <sheetView showGridLines="0" tabSelected="1" zoomScaleNormal="100" zoomScaleSheetLayoutView="100" workbookViewId="0">
      <selection activeCell="J23" sqref="J23"/>
    </sheetView>
  </sheetViews>
  <sheetFormatPr defaultRowHeight="14.25" x14ac:dyDescent="0.2"/>
  <cols>
    <col min="1" max="1" width="1.5703125" style="53" customWidth="1"/>
    <col min="2" max="2" width="12" style="118" customWidth="1"/>
    <col min="3" max="3" width="7" style="118" customWidth="1"/>
    <col min="4" max="4" width="10.140625" style="118" customWidth="1"/>
    <col min="5" max="5" width="10.7109375" style="214" customWidth="1"/>
    <col min="6" max="6" width="11.7109375" style="213" customWidth="1"/>
    <col min="7" max="7" width="10.28515625" style="213" customWidth="1"/>
    <col min="8" max="8" width="11.7109375" style="215" customWidth="1"/>
    <col min="9" max="9" width="12.28515625" style="213" customWidth="1"/>
    <col min="10" max="11" width="11.7109375" style="53" customWidth="1"/>
    <col min="12" max="12" width="1.28515625" style="2" customWidth="1"/>
    <col min="13" max="16384" width="9.140625" style="53"/>
  </cols>
  <sheetData>
    <row r="1" spans="1:13" s="30" customFormat="1" ht="12" customHeight="1" x14ac:dyDescent="0.25">
      <c r="B1" s="27"/>
      <c r="C1" s="27"/>
      <c r="D1" s="27"/>
      <c r="E1" s="28"/>
      <c r="F1" s="29"/>
      <c r="K1" s="181" t="s">
        <v>182</v>
      </c>
    </row>
    <row r="2" spans="1:13" s="30" customFormat="1" ht="12" customHeight="1" x14ac:dyDescent="0.25">
      <c r="B2" s="27"/>
      <c r="C2" s="27"/>
      <c r="D2" s="27"/>
      <c r="E2" s="28"/>
      <c r="F2" s="29"/>
      <c r="K2" s="71" t="s">
        <v>183</v>
      </c>
    </row>
    <row r="3" spans="1:13" s="30" customFormat="1" ht="12" customHeight="1" x14ac:dyDescent="0.25">
      <c r="B3" s="27"/>
      <c r="C3" s="27"/>
      <c r="D3" s="27"/>
      <c r="E3" s="28"/>
      <c r="F3" s="29"/>
      <c r="G3" s="71"/>
    </row>
    <row r="4" spans="1:13" s="30" customFormat="1" ht="12" customHeight="1" x14ac:dyDescent="0.25">
      <c r="B4" s="27"/>
      <c r="C4" s="27"/>
      <c r="D4" s="27"/>
      <c r="E4" s="28"/>
      <c r="F4" s="29"/>
      <c r="G4" s="71"/>
    </row>
    <row r="5" spans="1:13" ht="9.9499999999999993" customHeight="1" x14ac:dyDescent="0.2">
      <c r="L5" s="53"/>
    </row>
    <row r="6" spans="1:13" ht="15" customHeight="1" x14ac:dyDescent="0.2">
      <c r="B6" s="66" t="s">
        <v>232</v>
      </c>
      <c r="C6" s="67" t="s">
        <v>223</v>
      </c>
      <c r="F6" s="67"/>
      <c r="G6" s="67"/>
      <c r="H6" s="67"/>
      <c r="I6" s="67"/>
      <c r="J6" s="67"/>
      <c r="K6" s="67"/>
      <c r="L6" s="203"/>
      <c r="M6" s="203"/>
    </row>
    <row r="7" spans="1:13" ht="18" customHeight="1" x14ac:dyDescent="0.2">
      <c r="B7" s="83" t="s">
        <v>233</v>
      </c>
      <c r="C7" s="89" t="s">
        <v>224</v>
      </c>
      <c r="F7" s="89"/>
      <c r="G7" s="89"/>
      <c r="H7" s="89"/>
      <c r="I7" s="89"/>
      <c r="J7" s="89"/>
      <c r="K7" s="89"/>
      <c r="L7" s="204"/>
      <c r="M7" s="204"/>
    </row>
    <row r="8" spans="1:13" ht="8.1" customHeight="1" thickBot="1" x14ac:dyDescent="0.25">
      <c r="B8" s="218"/>
      <c r="C8" s="218"/>
      <c r="D8" s="218"/>
      <c r="E8" s="240"/>
      <c r="F8" s="241"/>
      <c r="G8" s="241"/>
      <c r="H8" s="242"/>
      <c r="I8" s="241"/>
      <c r="J8" s="119"/>
      <c r="K8" s="119"/>
      <c r="L8" s="53"/>
    </row>
    <row r="9" spans="1:13" ht="8.1" customHeight="1" thickTop="1" x14ac:dyDescent="0.2">
      <c r="A9" s="350"/>
      <c r="B9" s="352"/>
      <c r="C9" s="352"/>
      <c r="D9" s="352"/>
      <c r="E9" s="365"/>
      <c r="F9" s="355"/>
      <c r="G9" s="355"/>
      <c r="H9" s="366"/>
      <c r="I9" s="355"/>
      <c r="J9" s="350"/>
      <c r="K9" s="350"/>
      <c r="L9" s="350"/>
    </row>
    <row r="10" spans="1:13" ht="30.75" customHeight="1" x14ac:dyDescent="0.2">
      <c r="A10" s="356"/>
      <c r="B10" s="477" t="s">
        <v>231</v>
      </c>
      <c r="C10" s="477"/>
      <c r="D10" s="367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3" s="105" customFormat="1" ht="55.5" customHeight="1" x14ac:dyDescent="0.2">
      <c r="A11" s="363"/>
      <c r="B11" s="478"/>
      <c r="C11" s="478"/>
      <c r="D11" s="342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3" s="105" customFormat="1" ht="7.5" customHeight="1" x14ac:dyDescent="0.2">
      <c r="B12" s="89"/>
      <c r="C12" s="89"/>
      <c r="D12" s="88"/>
      <c r="E12" s="93"/>
      <c r="F12" s="243"/>
      <c r="G12" s="93"/>
      <c r="H12" s="93"/>
      <c r="I12" s="93"/>
      <c r="J12" s="243"/>
      <c r="K12" s="93"/>
    </row>
    <row r="13" spans="1:13" s="109" customFormat="1" ht="12.95" customHeight="1" x14ac:dyDescent="0.2">
      <c r="B13" s="244" t="s">
        <v>97</v>
      </c>
      <c r="C13" s="129"/>
      <c r="D13" s="245">
        <v>2016</v>
      </c>
      <c r="E13" s="246">
        <f>SUM(F13:K13)</f>
        <v>10121</v>
      </c>
      <c r="F13" s="247">
        <f>SUM(F17,F21,F25,F29,F33,F37,F41,F45,F49,F53,F57,F61,F65,F69)</f>
        <v>1475</v>
      </c>
      <c r="G13" s="247">
        <f t="shared" ref="G13:K13" si="0">SUM(G17,G21,G25,G29,G33,G37,G41,G45,G49,G53,G57,G61,G65,G69)</f>
        <v>400</v>
      </c>
      <c r="H13" s="247">
        <f t="shared" si="0"/>
        <v>1443</v>
      </c>
      <c r="I13" s="247">
        <f t="shared" si="0"/>
        <v>4686</v>
      </c>
      <c r="J13" s="247">
        <f t="shared" si="0"/>
        <v>44</v>
      </c>
      <c r="K13" s="247">
        <f t="shared" si="0"/>
        <v>2073</v>
      </c>
      <c r="L13" s="119"/>
    </row>
    <row r="14" spans="1:13" s="109" customFormat="1" ht="12.95" customHeight="1" x14ac:dyDescent="0.2">
      <c r="B14" s="129"/>
      <c r="C14" s="129"/>
      <c r="D14" s="245">
        <v>2017</v>
      </c>
      <c r="E14" s="246">
        <f t="shared" ref="E14:E15" si="1">SUM(F14:K14)</f>
        <v>8729</v>
      </c>
      <c r="F14" s="247">
        <f t="shared" ref="F14:K15" si="2">SUM(F18,F22,F26,F30,F34,F38,F42,F46,F50,F54,F58,F62,F66,F70)</f>
        <v>1211</v>
      </c>
      <c r="G14" s="247">
        <f t="shared" si="2"/>
        <v>274</v>
      </c>
      <c r="H14" s="247">
        <f t="shared" si="2"/>
        <v>1097</v>
      </c>
      <c r="I14" s="247">
        <f t="shared" si="2"/>
        <v>4104</v>
      </c>
      <c r="J14" s="247">
        <f t="shared" si="2"/>
        <v>11</v>
      </c>
      <c r="K14" s="247">
        <f t="shared" si="2"/>
        <v>2032</v>
      </c>
      <c r="L14" s="119"/>
    </row>
    <row r="15" spans="1:13" s="109" customFormat="1" ht="12.95" customHeight="1" x14ac:dyDescent="0.2">
      <c r="B15" s="129"/>
      <c r="C15" s="129"/>
      <c r="D15" s="245">
        <v>2018</v>
      </c>
      <c r="E15" s="246">
        <f t="shared" si="1"/>
        <v>8458</v>
      </c>
      <c r="F15" s="247">
        <f t="shared" si="2"/>
        <v>1239</v>
      </c>
      <c r="G15" s="247">
        <f t="shared" si="2"/>
        <v>278</v>
      </c>
      <c r="H15" s="247">
        <f t="shared" si="2"/>
        <v>1035</v>
      </c>
      <c r="I15" s="247">
        <f t="shared" si="2"/>
        <v>3881</v>
      </c>
      <c r="J15" s="247">
        <f t="shared" si="2"/>
        <v>4</v>
      </c>
      <c r="K15" s="247">
        <f t="shared" si="2"/>
        <v>2021</v>
      </c>
      <c r="L15" s="164"/>
    </row>
    <row r="16" spans="1:13" s="119" customFormat="1" ht="8.1" customHeight="1" x14ac:dyDescent="0.2">
      <c r="B16" s="129"/>
      <c r="C16" s="87"/>
      <c r="D16" s="248"/>
      <c r="E16" s="249"/>
      <c r="F16" s="249"/>
      <c r="G16" s="249"/>
      <c r="H16" s="249"/>
      <c r="I16" s="249"/>
      <c r="J16" s="249"/>
      <c r="K16" s="249"/>
    </row>
    <row r="17" spans="2:16" s="119" customFormat="1" ht="12.95" customHeight="1" x14ac:dyDescent="0.2">
      <c r="B17" s="250" t="s">
        <v>2</v>
      </c>
      <c r="C17" s="250"/>
      <c r="D17" s="251">
        <v>2016</v>
      </c>
      <c r="E17" s="252">
        <f>SUM(F17:K17)</f>
        <v>621</v>
      </c>
      <c r="F17" s="252">
        <v>115</v>
      </c>
      <c r="G17" s="252">
        <v>16</v>
      </c>
      <c r="H17" s="252">
        <v>41</v>
      </c>
      <c r="I17" s="252">
        <v>257</v>
      </c>
      <c r="J17" s="252">
        <v>10</v>
      </c>
      <c r="K17" s="252">
        <v>182</v>
      </c>
    </row>
    <row r="18" spans="2:16" s="119" customFormat="1" ht="12.95" customHeight="1" x14ac:dyDescent="0.2">
      <c r="B18" s="250"/>
      <c r="C18" s="250"/>
      <c r="D18" s="251">
        <v>2017</v>
      </c>
      <c r="E18" s="252">
        <f>SUM(F18:K18)</f>
        <v>558</v>
      </c>
      <c r="F18" s="252">
        <v>90</v>
      </c>
      <c r="G18" s="252">
        <v>10</v>
      </c>
      <c r="H18" s="252">
        <v>52</v>
      </c>
      <c r="I18" s="252">
        <v>287</v>
      </c>
      <c r="J18" s="252">
        <v>1</v>
      </c>
      <c r="K18" s="252">
        <v>118</v>
      </c>
    </row>
    <row r="19" spans="2:16" s="119" customFormat="1" ht="12.95" customHeight="1" x14ac:dyDescent="0.2">
      <c r="B19" s="250"/>
      <c r="C19" s="250"/>
      <c r="D19" s="251">
        <v>2018</v>
      </c>
      <c r="E19" s="252">
        <f>SUM(F19:K19)</f>
        <v>584</v>
      </c>
      <c r="F19" s="252">
        <v>158</v>
      </c>
      <c r="G19" s="252">
        <v>15</v>
      </c>
      <c r="H19" s="252">
        <v>46</v>
      </c>
      <c r="I19" s="252">
        <v>225</v>
      </c>
      <c r="J19" s="252">
        <v>2</v>
      </c>
      <c r="K19" s="252">
        <v>138</v>
      </c>
    </row>
    <row r="20" spans="2:16" s="119" customFormat="1" ht="8.1" customHeight="1" x14ac:dyDescent="0.2">
      <c r="B20" s="250"/>
      <c r="C20" s="250"/>
      <c r="D20" s="251"/>
      <c r="E20" s="252"/>
      <c r="F20" s="252"/>
      <c r="G20" s="252"/>
      <c r="H20" s="252"/>
      <c r="I20" s="252"/>
      <c r="J20" s="252"/>
      <c r="K20" s="252"/>
    </row>
    <row r="21" spans="2:16" ht="12.95" customHeight="1" x14ac:dyDescent="0.2">
      <c r="B21" s="250" t="s">
        <v>52</v>
      </c>
      <c r="C21" s="250"/>
      <c r="D21" s="251">
        <v>2016</v>
      </c>
      <c r="E21" s="253" t="s">
        <v>51</v>
      </c>
      <c r="F21" s="253" t="s">
        <v>51</v>
      </c>
      <c r="G21" s="253" t="s">
        <v>51</v>
      </c>
      <c r="H21" s="253" t="s">
        <v>51</v>
      </c>
      <c r="I21" s="253" t="s">
        <v>51</v>
      </c>
      <c r="J21" s="253" t="s">
        <v>51</v>
      </c>
      <c r="K21" s="253" t="s">
        <v>51</v>
      </c>
      <c r="L21" s="119"/>
    </row>
    <row r="22" spans="2:16" ht="12.95" customHeight="1" x14ac:dyDescent="0.2">
      <c r="B22" s="250"/>
      <c r="C22" s="250"/>
      <c r="D22" s="251">
        <v>2017</v>
      </c>
      <c r="E22" s="253">
        <f>SUM(F22:K22)</f>
        <v>727</v>
      </c>
      <c r="F22" s="253">
        <v>92</v>
      </c>
      <c r="G22" s="253">
        <v>17</v>
      </c>
      <c r="H22" s="253">
        <v>130</v>
      </c>
      <c r="I22" s="253">
        <v>337</v>
      </c>
      <c r="J22" s="253">
        <v>1</v>
      </c>
      <c r="K22" s="253">
        <v>150</v>
      </c>
      <c r="L22" s="119"/>
    </row>
    <row r="23" spans="2:16" ht="12.95" customHeight="1" x14ac:dyDescent="0.2">
      <c r="B23" s="250"/>
      <c r="C23" s="250"/>
      <c r="D23" s="251">
        <v>2018</v>
      </c>
      <c r="E23" s="253">
        <f>SUM(F23:K23)</f>
        <v>784</v>
      </c>
      <c r="F23" s="253">
        <v>47</v>
      </c>
      <c r="G23" s="253">
        <v>20</v>
      </c>
      <c r="H23" s="253">
        <v>138</v>
      </c>
      <c r="I23" s="253">
        <v>403</v>
      </c>
      <c r="J23" s="253" t="s">
        <v>51</v>
      </c>
      <c r="K23" s="253">
        <v>176</v>
      </c>
      <c r="L23" s="119"/>
    </row>
    <row r="24" spans="2:16" ht="8.1" customHeight="1" x14ac:dyDescent="0.2">
      <c r="B24" s="250"/>
      <c r="C24" s="250"/>
      <c r="D24" s="251"/>
      <c r="E24" s="252"/>
      <c r="F24" s="253"/>
      <c r="G24" s="253"/>
      <c r="H24" s="253"/>
      <c r="I24" s="253"/>
      <c r="J24" s="253"/>
      <c r="K24" s="253"/>
      <c r="L24" s="119"/>
    </row>
    <row r="25" spans="2:16" ht="12.95" customHeight="1" x14ac:dyDescent="0.2">
      <c r="B25" s="250" t="s">
        <v>53</v>
      </c>
      <c r="C25" s="250"/>
      <c r="D25" s="251">
        <v>2016</v>
      </c>
      <c r="E25" s="253">
        <f t="shared" ref="E25:E27" si="3">SUM(F25:K25)</f>
        <v>2802</v>
      </c>
      <c r="F25" s="252">
        <v>432</v>
      </c>
      <c r="G25" s="252">
        <v>87</v>
      </c>
      <c r="H25" s="252">
        <v>514</v>
      </c>
      <c r="I25" s="252">
        <v>1111</v>
      </c>
      <c r="J25" s="253">
        <v>1</v>
      </c>
      <c r="K25" s="252">
        <v>657</v>
      </c>
      <c r="L25" s="53"/>
    </row>
    <row r="26" spans="2:16" ht="12.95" customHeight="1" x14ac:dyDescent="0.2">
      <c r="B26" s="250"/>
      <c r="C26" s="250"/>
      <c r="D26" s="251">
        <v>2017</v>
      </c>
      <c r="E26" s="253">
        <f t="shared" si="3"/>
        <v>2275</v>
      </c>
      <c r="F26" s="252">
        <v>263</v>
      </c>
      <c r="G26" s="252">
        <v>65</v>
      </c>
      <c r="H26" s="252">
        <v>344</v>
      </c>
      <c r="I26" s="252">
        <v>945</v>
      </c>
      <c r="J26" s="252" t="s">
        <v>51</v>
      </c>
      <c r="K26" s="252">
        <v>658</v>
      </c>
      <c r="L26" s="53"/>
    </row>
    <row r="27" spans="2:16" ht="12.95" customHeight="1" x14ac:dyDescent="0.2">
      <c r="B27" s="250"/>
      <c r="C27" s="250"/>
      <c r="D27" s="251">
        <v>2018</v>
      </c>
      <c r="E27" s="253">
        <f t="shared" si="3"/>
        <v>2042</v>
      </c>
      <c r="F27" s="252">
        <v>220</v>
      </c>
      <c r="G27" s="252">
        <v>55</v>
      </c>
      <c r="H27" s="252">
        <v>317</v>
      </c>
      <c r="I27" s="252">
        <v>911</v>
      </c>
      <c r="J27" s="253" t="s">
        <v>51</v>
      </c>
      <c r="K27" s="252">
        <v>539</v>
      </c>
      <c r="L27" s="53"/>
    </row>
    <row r="28" spans="2:16" ht="8.1" customHeight="1" x14ac:dyDescent="0.2">
      <c r="B28" s="250"/>
      <c r="C28" s="250"/>
      <c r="D28" s="251"/>
      <c r="E28" s="252"/>
      <c r="F28" s="252"/>
      <c r="G28" s="252"/>
      <c r="H28" s="252"/>
      <c r="I28" s="252"/>
      <c r="J28" s="253"/>
      <c r="K28" s="252"/>
      <c r="L28" s="53"/>
    </row>
    <row r="29" spans="2:16" ht="12.95" customHeight="1" x14ac:dyDescent="0.2">
      <c r="B29" s="250" t="s">
        <v>54</v>
      </c>
      <c r="C29" s="250"/>
      <c r="D29" s="251">
        <v>2016</v>
      </c>
      <c r="E29" s="253">
        <f>SUM(F29:K29)</f>
        <v>1628</v>
      </c>
      <c r="F29" s="252">
        <v>333</v>
      </c>
      <c r="G29" s="252">
        <v>65</v>
      </c>
      <c r="H29" s="252">
        <v>221</v>
      </c>
      <c r="I29" s="252">
        <v>635</v>
      </c>
      <c r="J29" s="252">
        <v>16</v>
      </c>
      <c r="K29" s="252">
        <v>358</v>
      </c>
      <c r="L29" s="53"/>
    </row>
    <row r="30" spans="2:16" ht="12.95" customHeight="1" x14ac:dyDescent="0.2">
      <c r="B30" s="250"/>
      <c r="C30" s="250"/>
      <c r="D30" s="251">
        <v>2017</v>
      </c>
      <c r="E30" s="253">
        <f t="shared" ref="E30:E31" si="4">SUM(F30:K30)</f>
        <v>1237</v>
      </c>
      <c r="F30" s="252">
        <v>229</v>
      </c>
      <c r="G30" s="252">
        <v>42</v>
      </c>
      <c r="H30" s="252">
        <v>174</v>
      </c>
      <c r="I30" s="252">
        <v>510</v>
      </c>
      <c r="J30" s="252" t="s">
        <v>51</v>
      </c>
      <c r="K30" s="252">
        <v>282</v>
      </c>
      <c r="L30" s="53"/>
    </row>
    <row r="31" spans="2:16" s="118" customFormat="1" ht="12.95" customHeight="1" x14ac:dyDescent="0.2">
      <c r="B31" s="250"/>
      <c r="C31" s="250"/>
      <c r="D31" s="251">
        <v>2018</v>
      </c>
      <c r="E31" s="253">
        <f t="shared" si="4"/>
        <v>1306</v>
      </c>
      <c r="F31" s="252">
        <v>238</v>
      </c>
      <c r="G31" s="252">
        <v>36</v>
      </c>
      <c r="H31" s="252">
        <v>160</v>
      </c>
      <c r="I31" s="252">
        <v>572</v>
      </c>
      <c r="J31" s="253" t="s">
        <v>51</v>
      </c>
      <c r="K31" s="252">
        <v>300</v>
      </c>
      <c r="L31" s="53"/>
      <c r="M31" s="53"/>
      <c r="N31" s="53"/>
      <c r="O31" s="53"/>
      <c r="P31" s="53"/>
    </row>
    <row r="32" spans="2:16" s="118" customFormat="1" ht="8.1" customHeight="1" x14ac:dyDescent="0.2">
      <c r="B32" s="250"/>
      <c r="C32" s="250"/>
      <c r="D32" s="251"/>
      <c r="E32" s="252"/>
      <c r="F32" s="252"/>
      <c r="G32" s="252"/>
      <c r="H32" s="252"/>
      <c r="I32" s="252"/>
      <c r="J32" s="252"/>
      <c r="K32" s="252"/>
      <c r="L32" s="53"/>
      <c r="M32" s="53"/>
      <c r="N32" s="53"/>
      <c r="O32" s="53"/>
      <c r="P32" s="53"/>
    </row>
    <row r="33" spans="2:12" ht="12.95" customHeight="1" x14ac:dyDescent="0.2">
      <c r="B33" s="250" t="s">
        <v>3</v>
      </c>
      <c r="C33" s="250"/>
      <c r="D33" s="251">
        <v>2016</v>
      </c>
      <c r="E33" s="253">
        <f t="shared" ref="E33:E35" si="5">SUM(F33:K33)</f>
        <v>526</v>
      </c>
      <c r="F33" s="252">
        <v>41</v>
      </c>
      <c r="G33" s="252">
        <v>11</v>
      </c>
      <c r="H33" s="252">
        <v>35</v>
      </c>
      <c r="I33" s="252">
        <v>292</v>
      </c>
      <c r="J33" s="253">
        <v>3</v>
      </c>
      <c r="K33" s="252">
        <v>144</v>
      </c>
      <c r="L33" s="53"/>
    </row>
    <row r="34" spans="2:12" ht="12.95" customHeight="1" x14ac:dyDescent="0.2">
      <c r="B34" s="250"/>
      <c r="C34" s="250"/>
      <c r="D34" s="251">
        <v>2017</v>
      </c>
      <c r="E34" s="253">
        <f t="shared" si="5"/>
        <v>535</v>
      </c>
      <c r="F34" s="252">
        <v>29</v>
      </c>
      <c r="G34" s="252">
        <v>15</v>
      </c>
      <c r="H34" s="252">
        <v>47</v>
      </c>
      <c r="I34" s="252">
        <v>339</v>
      </c>
      <c r="J34" s="252">
        <v>1</v>
      </c>
      <c r="K34" s="252">
        <v>104</v>
      </c>
      <c r="L34" s="53"/>
    </row>
    <row r="35" spans="2:12" ht="12.95" customHeight="1" x14ac:dyDescent="0.2">
      <c r="B35" s="250"/>
      <c r="C35" s="250"/>
      <c r="D35" s="251">
        <v>2018</v>
      </c>
      <c r="E35" s="253">
        <f t="shared" si="5"/>
        <v>477</v>
      </c>
      <c r="F35" s="252">
        <v>28</v>
      </c>
      <c r="G35" s="252">
        <v>31</v>
      </c>
      <c r="H35" s="252">
        <v>44</v>
      </c>
      <c r="I35" s="252">
        <v>258</v>
      </c>
      <c r="J35" s="253" t="s">
        <v>51</v>
      </c>
      <c r="K35" s="252">
        <v>116</v>
      </c>
      <c r="L35" s="53"/>
    </row>
    <row r="36" spans="2:12" ht="8.1" customHeight="1" x14ac:dyDescent="0.2">
      <c r="B36" s="250"/>
      <c r="C36" s="250"/>
      <c r="D36" s="251"/>
      <c r="E36" s="252"/>
      <c r="F36" s="252"/>
      <c r="G36" s="252"/>
      <c r="H36" s="252"/>
      <c r="I36" s="252"/>
      <c r="J36" s="253"/>
      <c r="K36" s="252"/>
      <c r="L36" s="53"/>
    </row>
    <row r="37" spans="2:12" ht="12.95" customHeight="1" x14ac:dyDescent="0.2">
      <c r="B37" s="250" t="s">
        <v>4</v>
      </c>
      <c r="C37" s="250"/>
      <c r="D37" s="251">
        <v>2016</v>
      </c>
      <c r="E37" s="253">
        <f t="shared" ref="E37:E39" si="6">SUM(F37:K37)</f>
        <v>456</v>
      </c>
      <c r="F37" s="252">
        <v>43</v>
      </c>
      <c r="G37" s="252">
        <v>9</v>
      </c>
      <c r="H37" s="252">
        <v>45</v>
      </c>
      <c r="I37" s="252">
        <v>299</v>
      </c>
      <c r="J37" s="253">
        <v>2</v>
      </c>
      <c r="K37" s="252">
        <v>58</v>
      </c>
      <c r="L37" s="53"/>
    </row>
    <row r="38" spans="2:12" ht="12.95" customHeight="1" x14ac:dyDescent="0.2">
      <c r="B38" s="250"/>
      <c r="C38" s="250"/>
      <c r="D38" s="251">
        <v>2017</v>
      </c>
      <c r="E38" s="253">
        <f t="shared" si="6"/>
        <v>494</v>
      </c>
      <c r="F38" s="252">
        <v>102</v>
      </c>
      <c r="G38" s="252">
        <v>17</v>
      </c>
      <c r="H38" s="252">
        <v>46</v>
      </c>
      <c r="I38" s="252">
        <v>231</v>
      </c>
      <c r="J38" s="252">
        <v>1</v>
      </c>
      <c r="K38" s="252">
        <v>97</v>
      </c>
      <c r="L38" s="53"/>
    </row>
    <row r="39" spans="2:12" ht="12.95" customHeight="1" x14ac:dyDescent="0.2">
      <c r="B39" s="250"/>
      <c r="C39" s="250"/>
      <c r="D39" s="251">
        <v>2018</v>
      </c>
      <c r="E39" s="253">
        <f t="shared" si="6"/>
        <v>475</v>
      </c>
      <c r="F39" s="252">
        <v>108</v>
      </c>
      <c r="G39" s="252">
        <v>13</v>
      </c>
      <c r="H39" s="252">
        <v>48</v>
      </c>
      <c r="I39" s="252">
        <v>200</v>
      </c>
      <c r="J39" s="253" t="s">
        <v>51</v>
      </c>
      <c r="K39" s="252">
        <v>106</v>
      </c>
      <c r="L39" s="53"/>
    </row>
    <row r="40" spans="2:12" ht="8.1" customHeight="1" x14ac:dyDescent="0.2">
      <c r="B40" s="250"/>
      <c r="C40" s="250"/>
      <c r="D40" s="251"/>
      <c r="E40" s="252"/>
      <c r="F40" s="252"/>
      <c r="G40" s="252"/>
      <c r="H40" s="252"/>
      <c r="I40" s="252"/>
      <c r="J40" s="253"/>
      <c r="K40" s="252"/>
      <c r="L40" s="53"/>
    </row>
    <row r="41" spans="2:12" ht="12.95" customHeight="1" x14ac:dyDescent="0.2">
      <c r="B41" s="250" t="s">
        <v>9</v>
      </c>
      <c r="C41" s="250"/>
      <c r="D41" s="251">
        <v>2016</v>
      </c>
      <c r="E41" s="253">
        <f t="shared" ref="E41:E43" si="7">SUM(F41:K41)</f>
        <v>617</v>
      </c>
      <c r="F41" s="252">
        <v>163</v>
      </c>
      <c r="G41" s="252">
        <v>39</v>
      </c>
      <c r="H41" s="252">
        <v>58</v>
      </c>
      <c r="I41" s="252">
        <v>191</v>
      </c>
      <c r="J41" s="252">
        <v>7</v>
      </c>
      <c r="K41" s="252">
        <v>159</v>
      </c>
      <c r="L41" s="53"/>
    </row>
    <row r="42" spans="2:12" ht="12.95" customHeight="1" x14ac:dyDescent="0.2">
      <c r="B42" s="250"/>
      <c r="C42" s="250"/>
      <c r="D42" s="251">
        <v>2017</v>
      </c>
      <c r="E42" s="253">
        <f t="shared" si="7"/>
        <v>563</v>
      </c>
      <c r="F42" s="252">
        <v>134</v>
      </c>
      <c r="G42" s="252">
        <v>26</v>
      </c>
      <c r="H42" s="252">
        <v>49</v>
      </c>
      <c r="I42" s="252">
        <v>186</v>
      </c>
      <c r="J42" s="252">
        <v>1</v>
      </c>
      <c r="K42" s="252">
        <v>167</v>
      </c>
      <c r="L42" s="53"/>
    </row>
    <row r="43" spans="2:12" ht="12.95" customHeight="1" x14ac:dyDescent="0.2">
      <c r="B43" s="250"/>
      <c r="C43" s="250"/>
      <c r="D43" s="251">
        <v>2018</v>
      </c>
      <c r="E43" s="253">
        <f t="shared" si="7"/>
        <v>547</v>
      </c>
      <c r="F43" s="252">
        <v>136</v>
      </c>
      <c r="G43" s="252">
        <v>21</v>
      </c>
      <c r="H43" s="252">
        <v>40</v>
      </c>
      <c r="I43" s="252">
        <v>172</v>
      </c>
      <c r="J43" s="252" t="s">
        <v>51</v>
      </c>
      <c r="K43" s="252">
        <v>178</v>
      </c>
      <c r="L43" s="53"/>
    </row>
    <row r="44" spans="2:12" ht="8.1" customHeight="1" x14ac:dyDescent="0.2">
      <c r="B44" s="250"/>
      <c r="C44" s="250"/>
      <c r="D44" s="251"/>
      <c r="E44" s="252"/>
      <c r="F44" s="252"/>
      <c r="G44" s="252"/>
      <c r="H44" s="252"/>
      <c r="I44" s="252"/>
      <c r="J44" s="252"/>
      <c r="K44" s="252"/>
      <c r="L44" s="53"/>
    </row>
    <row r="45" spans="2:12" ht="12.95" customHeight="1" x14ac:dyDescent="0.2">
      <c r="B45" s="250" t="s">
        <v>10</v>
      </c>
      <c r="C45" s="250"/>
      <c r="D45" s="251">
        <v>2016</v>
      </c>
      <c r="E45" s="253">
        <f t="shared" ref="E45:E47" si="8">SUM(F45:K45)</f>
        <v>220</v>
      </c>
      <c r="F45" s="252">
        <v>43</v>
      </c>
      <c r="G45" s="252">
        <v>1</v>
      </c>
      <c r="H45" s="252">
        <v>11</v>
      </c>
      <c r="I45" s="252">
        <v>100</v>
      </c>
      <c r="J45" s="252">
        <v>2</v>
      </c>
      <c r="K45" s="252">
        <v>63</v>
      </c>
      <c r="L45" s="53"/>
    </row>
    <row r="46" spans="2:12" ht="12.95" customHeight="1" x14ac:dyDescent="0.2">
      <c r="B46" s="250"/>
      <c r="C46" s="250"/>
      <c r="D46" s="251">
        <v>2017</v>
      </c>
      <c r="E46" s="253">
        <f t="shared" si="8"/>
        <v>190</v>
      </c>
      <c r="F46" s="253">
        <v>25</v>
      </c>
      <c r="G46" s="252">
        <v>3</v>
      </c>
      <c r="H46" s="252">
        <v>8</v>
      </c>
      <c r="I46" s="252">
        <v>83</v>
      </c>
      <c r="J46" s="252" t="s">
        <v>51</v>
      </c>
      <c r="K46" s="252">
        <v>71</v>
      </c>
      <c r="L46" s="53"/>
    </row>
    <row r="47" spans="2:12" ht="12.95" customHeight="1" x14ac:dyDescent="0.2">
      <c r="B47" s="250"/>
      <c r="C47" s="250"/>
      <c r="D47" s="251">
        <v>2018</v>
      </c>
      <c r="E47" s="253">
        <f t="shared" si="8"/>
        <v>174</v>
      </c>
      <c r="F47" s="252">
        <v>28</v>
      </c>
      <c r="G47" s="252">
        <v>3</v>
      </c>
      <c r="H47" s="252">
        <v>5</v>
      </c>
      <c r="I47" s="252">
        <v>75</v>
      </c>
      <c r="J47" s="253">
        <v>1</v>
      </c>
      <c r="K47" s="252">
        <v>62</v>
      </c>
      <c r="L47" s="53"/>
    </row>
    <row r="48" spans="2:12" ht="8.1" customHeight="1" x14ac:dyDescent="0.2">
      <c r="B48" s="250"/>
      <c r="C48" s="250"/>
      <c r="D48" s="251"/>
      <c r="E48" s="252"/>
      <c r="F48" s="252"/>
      <c r="G48" s="252"/>
      <c r="H48" s="252"/>
      <c r="I48" s="252"/>
      <c r="J48" s="252"/>
      <c r="K48" s="252"/>
      <c r="L48" s="53"/>
    </row>
    <row r="49" spans="1:12" ht="12.95" customHeight="1" x14ac:dyDescent="0.2">
      <c r="B49" s="250" t="s">
        <v>5</v>
      </c>
      <c r="C49" s="250"/>
      <c r="D49" s="251">
        <v>2016</v>
      </c>
      <c r="E49" s="253">
        <f>SUM(F49:K49)</f>
        <v>112</v>
      </c>
      <c r="F49" s="252">
        <v>1</v>
      </c>
      <c r="G49" s="252">
        <v>1</v>
      </c>
      <c r="H49" s="252">
        <v>8</v>
      </c>
      <c r="I49" s="252">
        <v>61</v>
      </c>
      <c r="J49" s="253" t="s">
        <v>51</v>
      </c>
      <c r="K49" s="252">
        <v>41</v>
      </c>
      <c r="L49" s="53"/>
    </row>
    <row r="50" spans="1:12" ht="12.95" customHeight="1" x14ac:dyDescent="0.2">
      <c r="B50" s="250"/>
      <c r="C50" s="250"/>
      <c r="D50" s="251">
        <v>2017</v>
      </c>
      <c r="E50" s="253">
        <f t="shared" ref="E50:E51" si="9">SUM(F50:K50)</f>
        <v>120</v>
      </c>
      <c r="F50" s="252">
        <v>9</v>
      </c>
      <c r="G50" s="252">
        <v>1</v>
      </c>
      <c r="H50" s="252">
        <v>5</v>
      </c>
      <c r="I50" s="252">
        <v>45</v>
      </c>
      <c r="J50" s="253">
        <v>1</v>
      </c>
      <c r="K50" s="252">
        <v>59</v>
      </c>
      <c r="L50" s="53"/>
    </row>
    <row r="51" spans="1:12" ht="12.95" customHeight="1" x14ac:dyDescent="0.2">
      <c r="A51" s="119"/>
      <c r="B51" s="250"/>
      <c r="C51" s="250"/>
      <c r="D51" s="251">
        <v>2018</v>
      </c>
      <c r="E51" s="253">
        <f t="shared" si="9"/>
        <v>100</v>
      </c>
      <c r="F51" s="252">
        <v>16</v>
      </c>
      <c r="G51" s="252">
        <v>4</v>
      </c>
      <c r="H51" s="252">
        <v>9</v>
      </c>
      <c r="I51" s="252">
        <v>40</v>
      </c>
      <c r="J51" s="253">
        <v>1</v>
      </c>
      <c r="K51" s="252">
        <v>30</v>
      </c>
      <c r="L51" s="53"/>
    </row>
    <row r="52" spans="1:12" s="119" customFormat="1" ht="8.1" customHeight="1" x14ac:dyDescent="0.2">
      <c r="B52" s="250"/>
      <c r="C52" s="250"/>
      <c r="D52" s="251"/>
      <c r="E52" s="252"/>
      <c r="F52" s="252"/>
      <c r="G52" s="252"/>
      <c r="H52" s="252"/>
      <c r="I52" s="252"/>
      <c r="J52" s="252"/>
      <c r="K52" s="252"/>
      <c r="L52" s="53"/>
    </row>
    <row r="53" spans="1:12" s="119" customFormat="1" ht="12.95" customHeight="1" x14ac:dyDescent="0.2">
      <c r="B53" s="250" t="s">
        <v>6</v>
      </c>
      <c r="C53" s="250"/>
      <c r="D53" s="251">
        <v>2016</v>
      </c>
      <c r="E53" s="253">
        <f t="shared" ref="E53:E55" si="10">SUM(F53:K53)</f>
        <v>298</v>
      </c>
      <c r="F53" s="252">
        <v>46</v>
      </c>
      <c r="G53" s="252">
        <v>3</v>
      </c>
      <c r="H53" s="252">
        <v>19</v>
      </c>
      <c r="I53" s="252">
        <v>140</v>
      </c>
      <c r="J53" s="252">
        <v>2</v>
      </c>
      <c r="K53" s="252">
        <v>88</v>
      </c>
    </row>
    <row r="54" spans="1:12" s="119" customFormat="1" ht="12.95" customHeight="1" x14ac:dyDescent="0.2">
      <c r="B54" s="250"/>
      <c r="C54" s="250"/>
      <c r="D54" s="251">
        <v>2017</v>
      </c>
      <c r="E54" s="253">
        <f t="shared" si="10"/>
        <v>234</v>
      </c>
      <c r="F54" s="252">
        <v>46</v>
      </c>
      <c r="G54" s="252">
        <v>4</v>
      </c>
      <c r="H54" s="252">
        <v>10</v>
      </c>
      <c r="I54" s="252">
        <v>109</v>
      </c>
      <c r="J54" s="252" t="s">
        <v>51</v>
      </c>
      <c r="K54" s="252">
        <v>65</v>
      </c>
    </row>
    <row r="55" spans="1:12" s="119" customFormat="1" ht="12.95" customHeight="1" x14ac:dyDescent="0.2">
      <c r="B55" s="250"/>
      <c r="C55" s="250"/>
      <c r="D55" s="251">
        <v>2018</v>
      </c>
      <c r="E55" s="253">
        <f t="shared" si="10"/>
        <v>247</v>
      </c>
      <c r="F55" s="252">
        <v>39</v>
      </c>
      <c r="G55" s="252">
        <v>4</v>
      </c>
      <c r="H55" s="252">
        <v>17</v>
      </c>
      <c r="I55" s="252">
        <v>137</v>
      </c>
      <c r="J55" s="253" t="s">
        <v>51</v>
      </c>
      <c r="K55" s="252">
        <v>50</v>
      </c>
    </row>
    <row r="56" spans="1:12" s="119" customFormat="1" ht="8.1" customHeight="1" x14ac:dyDescent="0.2">
      <c r="B56" s="250"/>
      <c r="C56" s="250"/>
      <c r="D56" s="251"/>
      <c r="E56" s="252"/>
      <c r="F56" s="252"/>
      <c r="G56" s="252"/>
      <c r="H56" s="252"/>
      <c r="I56" s="252"/>
      <c r="J56" s="252"/>
      <c r="K56" s="252"/>
    </row>
    <row r="57" spans="1:12" s="119" customFormat="1" ht="12.95" customHeight="1" x14ac:dyDescent="0.2">
      <c r="B57" s="250" t="s">
        <v>55</v>
      </c>
      <c r="C57" s="250"/>
      <c r="D57" s="251">
        <v>2016</v>
      </c>
      <c r="E57" s="253">
        <f t="shared" ref="E57:E58" si="11">SUM(F57:K57)</f>
        <v>788</v>
      </c>
      <c r="F57" s="252">
        <v>77</v>
      </c>
      <c r="G57" s="252">
        <v>27</v>
      </c>
      <c r="H57" s="252">
        <v>163</v>
      </c>
      <c r="I57" s="252">
        <v>408</v>
      </c>
      <c r="J57" s="253" t="s">
        <v>51</v>
      </c>
      <c r="K57" s="252">
        <v>113</v>
      </c>
    </row>
    <row r="58" spans="1:12" s="119" customFormat="1" ht="12.95" customHeight="1" x14ac:dyDescent="0.2">
      <c r="B58" s="250"/>
      <c r="C58" s="250"/>
      <c r="D58" s="251">
        <v>2017</v>
      </c>
      <c r="E58" s="253">
        <f t="shared" si="11"/>
        <v>3</v>
      </c>
      <c r="F58" s="252">
        <v>1</v>
      </c>
      <c r="G58" s="252" t="s">
        <v>51</v>
      </c>
      <c r="H58" s="252" t="s">
        <v>51</v>
      </c>
      <c r="I58" s="252">
        <v>2</v>
      </c>
      <c r="J58" s="253" t="s">
        <v>51</v>
      </c>
      <c r="K58" s="252" t="s">
        <v>51</v>
      </c>
    </row>
    <row r="59" spans="1:12" s="119" customFormat="1" ht="12.95" customHeight="1" x14ac:dyDescent="0.2">
      <c r="B59" s="250"/>
      <c r="C59" s="250"/>
      <c r="D59" s="251">
        <v>2018</v>
      </c>
      <c r="E59" s="253" t="s">
        <v>51</v>
      </c>
      <c r="F59" s="252" t="s">
        <v>51</v>
      </c>
      <c r="G59" s="253" t="s">
        <v>51</v>
      </c>
      <c r="H59" s="253" t="s">
        <v>51</v>
      </c>
      <c r="I59" s="252" t="s">
        <v>51</v>
      </c>
      <c r="J59" s="253" t="s">
        <v>51</v>
      </c>
      <c r="K59" s="253" t="s">
        <v>51</v>
      </c>
    </row>
    <row r="60" spans="1:12" s="119" customFormat="1" ht="8.1" customHeight="1" x14ac:dyDescent="0.2">
      <c r="B60" s="250"/>
      <c r="C60" s="250"/>
      <c r="D60" s="251"/>
      <c r="E60" s="252"/>
      <c r="F60" s="252"/>
      <c r="G60" s="252"/>
      <c r="H60" s="252"/>
      <c r="I60" s="252"/>
      <c r="J60" s="253"/>
      <c r="K60" s="252"/>
    </row>
    <row r="61" spans="1:12" s="119" customFormat="1" ht="12.95" customHeight="1" x14ac:dyDescent="0.2">
      <c r="B61" s="250" t="s">
        <v>7</v>
      </c>
      <c r="C61" s="250"/>
      <c r="D61" s="251">
        <v>2016</v>
      </c>
      <c r="E61" s="253">
        <f t="shared" ref="E61:E63" si="12">SUM(F61:K61)</f>
        <v>230</v>
      </c>
      <c r="F61" s="252">
        <v>12</v>
      </c>
      <c r="G61" s="252">
        <v>6</v>
      </c>
      <c r="H61" s="252">
        <v>32</v>
      </c>
      <c r="I61" s="252">
        <v>136</v>
      </c>
      <c r="J61" s="253">
        <v>1</v>
      </c>
      <c r="K61" s="252">
        <v>43</v>
      </c>
    </row>
    <row r="62" spans="1:12" s="119" customFormat="1" ht="12.95" customHeight="1" x14ac:dyDescent="0.2">
      <c r="B62" s="250"/>
      <c r="C62" s="250"/>
      <c r="D62" s="251">
        <v>2017</v>
      </c>
      <c r="E62" s="253">
        <f t="shared" si="12"/>
        <v>247</v>
      </c>
      <c r="F62" s="252">
        <v>12</v>
      </c>
      <c r="G62" s="252">
        <v>5</v>
      </c>
      <c r="H62" s="252">
        <v>50</v>
      </c>
      <c r="I62" s="252">
        <v>150</v>
      </c>
      <c r="J62" s="252" t="s">
        <v>51</v>
      </c>
      <c r="K62" s="252">
        <v>30</v>
      </c>
      <c r="L62" s="2"/>
    </row>
    <row r="63" spans="1:12" s="119" customFormat="1" ht="12.95" customHeight="1" x14ac:dyDescent="0.2">
      <c r="B63" s="250"/>
      <c r="C63" s="250"/>
      <c r="D63" s="251">
        <v>2018</v>
      </c>
      <c r="E63" s="253">
        <f t="shared" si="12"/>
        <v>228</v>
      </c>
      <c r="F63" s="252">
        <v>15</v>
      </c>
      <c r="G63" s="252">
        <v>7</v>
      </c>
      <c r="H63" s="252">
        <v>28</v>
      </c>
      <c r="I63" s="252">
        <v>136</v>
      </c>
      <c r="J63" s="253" t="s">
        <v>51</v>
      </c>
      <c r="K63" s="252">
        <v>42</v>
      </c>
      <c r="L63" s="2"/>
    </row>
    <row r="64" spans="1:12" s="119" customFormat="1" ht="8.1" customHeight="1" x14ac:dyDescent="0.2">
      <c r="B64" s="250"/>
      <c r="C64" s="250"/>
      <c r="D64" s="251"/>
      <c r="E64" s="252"/>
      <c r="F64" s="252"/>
      <c r="G64" s="252"/>
      <c r="H64" s="252"/>
      <c r="I64" s="252"/>
      <c r="J64" s="253"/>
      <c r="K64" s="252"/>
      <c r="L64" s="2"/>
    </row>
    <row r="65" spans="1:12" s="119" customFormat="1" ht="12.95" customHeight="1" x14ac:dyDescent="0.2">
      <c r="B65" s="250" t="s">
        <v>8</v>
      </c>
      <c r="C65" s="250"/>
      <c r="D65" s="251">
        <v>2016</v>
      </c>
      <c r="E65" s="253">
        <f t="shared" ref="E65:E67" si="13">SUM(F65:K65)</f>
        <v>295</v>
      </c>
      <c r="F65" s="252">
        <v>75</v>
      </c>
      <c r="G65" s="252">
        <v>14</v>
      </c>
      <c r="H65" s="252">
        <v>23</v>
      </c>
      <c r="I65" s="252">
        <v>135</v>
      </c>
      <c r="J65" s="252" t="s">
        <v>51</v>
      </c>
      <c r="K65" s="252">
        <v>48</v>
      </c>
      <c r="L65" s="2"/>
    </row>
    <row r="66" spans="1:12" s="119" customFormat="1" ht="12.95" customHeight="1" x14ac:dyDescent="0.2">
      <c r="B66" s="250"/>
      <c r="C66" s="250"/>
      <c r="D66" s="251">
        <v>2017</v>
      </c>
      <c r="E66" s="253">
        <f t="shared" si="13"/>
        <v>325</v>
      </c>
      <c r="F66" s="252">
        <v>73</v>
      </c>
      <c r="G66" s="252">
        <v>6</v>
      </c>
      <c r="H66" s="252">
        <v>17</v>
      </c>
      <c r="I66" s="252">
        <v>129</v>
      </c>
      <c r="J66" s="253">
        <v>5</v>
      </c>
      <c r="K66" s="252">
        <v>95</v>
      </c>
      <c r="L66" s="2"/>
    </row>
    <row r="67" spans="1:12" s="119" customFormat="1" ht="12.95" customHeight="1" x14ac:dyDescent="0.2">
      <c r="B67" s="250"/>
      <c r="C67" s="250"/>
      <c r="D67" s="251">
        <v>2018</v>
      </c>
      <c r="E67" s="253">
        <f t="shared" si="13"/>
        <v>299</v>
      </c>
      <c r="F67" s="252">
        <v>74</v>
      </c>
      <c r="G67" s="252">
        <v>9</v>
      </c>
      <c r="H67" s="252">
        <v>15</v>
      </c>
      <c r="I67" s="252">
        <v>99</v>
      </c>
      <c r="J67" s="252" t="s">
        <v>51</v>
      </c>
      <c r="K67" s="252">
        <v>102</v>
      </c>
      <c r="L67" s="2"/>
    </row>
    <row r="68" spans="1:12" s="119" customFormat="1" ht="8.1" customHeight="1" x14ac:dyDescent="0.2">
      <c r="B68" s="250"/>
      <c r="C68" s="250"/>
      <c r="D68" s="251"/>
      <c r="E68" s="252"/>
      <c r="F68" s="252"/>
      <c r="G68" s="252"/>
      <c r="H68" s="252"/>
      <c r="I68" s="252"/>
      <c r="J68" s="252"/>
      <c r="K68" s="252"/>
      <c r="L68" s="2"/>
    </row>
    <row r="69" spans="1:12" ht="12.95" customHeight="1" x14ac:dyDescent="0.2">
      <c r="B69" s="250" t="s">
        <v>56</v>
      </c>
      <c r="C69" s="250"/>
      <c r="D69" s="251">
        <v>2016</v>
      </c>
      <c r="E69" s="253">
        <f t="shared" ref="E69:E71" si="14">SUM(F69:K69)</f>
        <v>1528</v>
      </c>
      <c r="F69" s="254">
        <v>94</v>
      </c>
      <c r="G69" s="254">
        <v>121</v>
      </c>
      <c r="H69" s="252">
        <v>273</v>
      </c>
      <c r="I69" s="252">
        <v>921</v>
      </c>
      <c r="J69" s="253" t="s">
        <v>51</v>
      </c>
      <c r="K69" s="252">
        <v>119</v>
      </c>
    </row>
    <row r="70" spans="1:12" ht="12.95" customHeight="1" x14ac:dyDescent="0.2">
      <c r="A70" s="119"/>
      <c r="B70" s="250"/>
      <c r="C70" s="250"/>
      <c r="D70" s="251">
        <v>2017</v>
      </c>
      <c r="E70" s="253">
        <f t="shared" si="14"/>
        <v>1221</v>
      </c>
      <c r="F70" s="252">
        <v>106</v>
      </c>
      <c r="G70" s="252">
        <v>63</v>
      </c>
      <c r="H70" s="252">
        <v>165</v>
      </c>
      <c r="I70" s="252">
        <v>751</v>
      </c>
      <c r="J70" s="253" t="s">
        <v>51</v>
      </c>
      <c r="K70" s="252">
        <v>136</v>
      </c>
    </row>
    <row r="71" spans="1:12" ht="12.95" customHeight="1" x14ac:dyDescent="0.2">
      <c r="A71" s="119"/>
      <c r="B71" s="250"/>
      <c r="C71" s="250"/>
      <c r="D71" s="251">
        <v>2018</v>
      </c>
      <c r="E71" s="253">
        <f t="shared" si="14"/>
        <v>1195</v>
      </c>
      <c r="F71" s="254">
        <v>132</v>
      </c>
      <c r="G71" s="254">
        <v>60</v>
      </c>
      <c r="H71" s="252">
        <v>168</v>
      </c>
      <c r="I71" s="252">
        <v>653</v>
      </c>
      <c r="J71" s="253" t="s">
        <v>51</v>
      </c>
      <c r="K71" s="252">
        <v>182</v>
      </c>
    </row>
    <row r="72" spans="1:12" ht="8.1" customHeight="1" thickBot="1" x14ac:dyDescent="0.25">
      <c r="A72" s="219"/>
      <c r="B72" s="255"/>
      <c r="C72" s="255"/>
      <c r="D72" s="256"/>
      <c r="E72" s="257"/>
      <c r="F72" s="258"/>
      <c r="G72" s="258"/>
      <c r="H72" s="257"/>
      <c r="I72" s="257"/>
      <c r="J72" s="259"/>
      <c r="K72" s="257"/>
      <c r="L72" s="34"/>
    </row>
    <row r="73" spans="1:12" x14ac:dyDescent="0.2">
      <c r="B73" s="86"/>
      <c r="C73" s="86"/>
      <c r="D73" s="86"/>
      <c r="E73" s="240"/>
      <c r="F73" s="241"/>
      <c r="G73" s="119"/>
      <c r="H73" s="119"/>
      <c r="I73" s="260"/>
      <c r="J73" s="242"/>
      <c r="K73" s="8" t="s">
        <v>101</v>
      </c>
    </row>
    <row r="74" spans="1:12" x14ac:dyDescent="0.2">
      <c r="B74" s="119"/>
      <c r="C74" s="119"/>
      <c r="D74" s="119"/>
      <c r="E74" s="261"/>
      <c r="F74" s="164"/>
      <c r="G74" s="86"/>
      <c r="H74" s="86"/>
      <c r="I74" s="164"/>
      <c r="J74" s="241"/>
      <c r="K74" s="41" t="s">
        <v>1</v>
      </c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4" fitToWidth="0" orientation="portrait" r:id="rId1"/>
  <headerFooter>
    <oddHeader xml:space="preserve">&amp;R&amp;"-,Bold"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2"/>
  <sheetViews>
    <sheetView showGridLines="0" tabSelected="1" zoomScaleNormal="100" zoomScaleSheetLayoutView="100" workbookViewId="0">
      <selection activeCell="J23" sqref="J23"/>
    </sheetView>
  </sheetViews>
  <sheetFormatPr defaultRowHeight="15" x14ac:dyDescent="0.25"/>
  <cols>
    <col min="1" max="1" width="1.7109375" style="2" customWidth="1"/>
    <col min="2" max="2" width="9.85546875" style="3" customWidth="1"/>
    <col min="3" max="3" width="7.85546875" style="3" customWidth="1"/>
    <col min="4" max="4" width="10.42578125" style="5" customWidth="1"/>
    <col min="5" max="5" width="10.5703125" style="4" customWidth="1"/>
    <col min="6" max="6" width="11.7109375" style="5" customWidth="1"/>
    <col min="7" max="7" width="11.140625" style="5" customWidth="1"/>
    <col min="8" max="8" width="11.7109375" style="209" customWidth="1"/>
    <col min="9" max="9" width="12.28515625" style="5" customWidth="1"/>
    <col min="10" max="10" width="10.5703125" style="22" customWidth="1"/>
    <col min="11" max="11" width="11.7109375" style="2" customWidth="1"/>
    <col min="12" max="12" width="1.285156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7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105" customFormat="1" ht="8.1" customHeight="1" x14ac:dyDescent="0.2">
      <c r="A12" s="109"/>
      <c r="B12" s="263"/>
      <c r="C12" s="263"/>
      <c r="D12" s="170"/>
      <c r="E12" s="93"/>
      <c r="F12" s="243"/>
      <c r="G12" s="93"/>
      <c r="H12" s="93"/>
      <c r="I12" s="93"/>
      <c r="J12" s="243"/>
      <c r="K12" s="93"/>
    </row>
    <row r="13" spans="1:12" s="119" customFormat="1" ht="15" customHeight="1" x14ac:dyDescent="0.2">
      <c r="B13" s="64" t="s">
        <v>99</v>
      </c>
      <c r="D13" s="310">
        <v>2016</v>
      </c>
      <c r="E13" s="166">
        <f>SUM(F13:K13)</f>
        <v>6201</v>
      </c>
      <c r="F13" s="128">
        <f>SUM(F17,F21,F25,F29,F33,F37,F41,F45,F49,F53,F57)</f>
        <v>1287</v>
      </c>
      <c r="G13" s="128">
        <f t="shared" ref="G13:K13" si="0">SUM(G17,G21,G25,G29,G33,G37,G41,G45,G49,G53,G57)</f>
        <v>111</v>
      </c>
      <c r="H13" s="128">
        <f t="shared" si="0"/>
        <v>497</v>
      </c>
      <c r="I13" s="128">
        <f t="shared" si="0"/>
        <v>3125</v>
      </c>
      <c r="J13" s="128">
        <f t="shared" si="0"/>
        <v>99</v>
      </c>
      <c r="K13" s="128">
        <f t="shared" si="0"/>
        <v>1082</v>
      </c>
    </row>
    <row r="14" spans="1:12" s="119" customFormat="1" ht="15" customHeight="1" x14ac:dyDescent="0.2">
      <c r="B14" s="109"/>
      <c r="D14" s="310">
        <v>2017</v>
      </c>
      <c r="E14" s="166">
        <f t="shared" ref="E14" si="1">SUM(F14:K14)</f>
        <v>5763</v>
      </c>
      <c r="F14" s="128">
        <f t="shared" ref="F14:K15" si="2">SUM(F18,F22,F26,F30,F34,F38,F42,F46,F50,F54,F58)</f>
        <v>1350</v>
      </c>
      <c r="G14" s="128">
        <f t="shared" si="2"/>
        <v>81</v>
      </c>
      <c r="H14" s="128">
        <f t="shared" si="2"/>
        <v>378</v>
      </c>
      <c r="I14" s="128">
        <f t="shared" si="2"/>
        <v>2846</v>
      </c>
      <c r="J14" s="128">
        <f t="shared" si="2"/>
        <v>29</v>
      </c>
      <c r="K14" s="128">
        <f t="shared" si="2"/>
        <v>1079</v>
      </c>
    </row>
    <row r="15" spans="1:12" s="119" customFormat="1" ht="15" customHeight="1" x14ac:dyDescent="0.2">
      <c r="B15" s="109"/>
      <c r="D15" s="310">
        <v>2018</v>
      </c>
      <c r="E15" s="166">
        <f>SUM(F15:K15)</f>
        <v>5232</v>
      </c>
      <c r="F15" s="128">
        <f t="shared" si="2"/>
        <v>1130</v>
      </c>
      <c r="G15" s="128">
        <f t="shared" si="2"/>
        <v>56</v>
      </c>
      <c r="H15" s="128">
        <f t="shared" si="2"/>
        <v>366</v>
      </c>
      <c r="I15" s="128">
        <f t="shared" si="2"/>
        <v>2579</v>
      </c>
      <c r="J15" s="128">
        <f t="shared" si="2"/>
        <v>12</v>
      </c>
      <c r="K15" s="128">
        <f t="shared" si="2"/>
        <v>1089</v>
      </c>
      <c r="L15" s="164"/>
    </row>
    <row r="16" spans="1:12" s="119" customFormat="1" ht="8.1" customHeight="1" x14ac:dyDescent="0.25">
      <c r="B16" s="109"/>
      <c r="D16" s="311"/>
      <c r="E16" s="163"/>
      <c r="F16" s="163"/>
      <c r="G16" s="163"/>
      <c r="H16" s="163"/>
      <c r="I16" s="163"/>
      <c r="J16" s="163"/>
      <c r="K16" s="163"/>
    </row>
    <row r="17" spans="2:11" s="119" customFormat="1" ht="15" customHeight="1" x14ac:dyDescent="0.2">
      <c r="B17" s="58" t="s">
        <v>57</v>
      </c>
      <c r="C17" s="85"/>
      <c r="D17" s="312">
        <v>2016</v>
      </c>
      <c r="E17" s="167">
        <f t="shared" ref="E17:E18" si="3">SUM(F17:K17)</f>
        <v>351</v>
      </c>
      <c r="F17" s="163">
        <v>41</v>
      </c>
      <c r="G17" s="163">
        <v>4</v>
      </c>
      <c r="H17" s="163">
        <v>17</v>
      </c>
      <c r="I17" s="163">
        <v>224</v>
      </c>
      <c r="J17" s="163">
        <v>5</v>
      </c>
      <c r="K17" s="163">
        <v>60</v>
      </c>
    </row>
    <row r="18" spans="2:11" s="119" customFormat="1" ht="15" customHeight="1" x14ac:dyDescent="0.2">
      <c r="B18" s="58"/>
      <c r="C18" s="85"/>
      <c r="D18" s="312">
        <v>2017</v>
      </c>
      <c r="E18" s="167">
        <f t="shared" si="3"/>
        <v>255</v>
      </c>
      <c r="F18" s="163">
        <v>46</v>
      </c>
      <c r="G18" s="163" t="s">
        <v>51</v>
      </c>
      <c r="H18" s="163">
        <v>13</v>
      </c>
      <c r="I18" s="163">
        <v>153</v>
      </c>
      <c r="J18" s="163" t="s">
        <v>51</v>
      </c>
      <c r="K18" s="163">
        <v>43</v>
      </c>
    </row>
    <row r="19" spans="2:11" s="119" customFormat="1" ht="15" customHeight="1" x14ac:dyDescent="0.2">
      <c r="B19" s="58"/>
      <c r="C19" s="85"/>
      <c r="D19" s="312">
        <v>2018</v>
      </c>
      <c r="E19" s="167">
        <f>SUM(F19:K19)</f>
        <v>281</v>
      </c>
      <c r="F19" s="163">
        <v>66</v>
      </c>
      <c r="G19" s="163" t="s">
        <v>51</v>
      </c>
      <c r="H19" s="163">
        <v>11</v>
      </c>
      <c r="I19" s="163">
        <v>157</v>
      </c>
      <c r="J19" s="264">
        <v>1</v>
      </c>
      <c r="K19" s="163">
        <v>46</v>
      </c>
    </row>
    <row r="20" spans="2:11" s="119" customFormat="1" ht="8.1" customHeight="1" x14ac:dyDescent="0.2">
      <c r="B20" s="58"/>
      <c r="C20" s="85"/>
      <c r="D20" s="312"/>
      <c r="E20" s="167"/>
      <c r="F20" s="163"/>
      <c r="G20" s="163"/>
      <c r="H20" s="163"/>
      <c r="I20" s="163"/>
      <c r="J20" s="163"/>
      <c r="K20" s="163"/>
    </row>
    <row r="21" spans="2:11" s="119" customFormat="1" ht="15" customHeight="1" x14ac:dyDescent="0.2">
      <c r="B21" s="58" t="s">
        <v>58</v>
      </c>
      <c r="C21" s="85"/>
      <c r="D21" s="312">
        <v>2016</v>
      </c>
      <c r="E21" s="167">
        <f t="shared" ref="E21:E22" si="4">SUM(F21:K21)</f>
        <v>52</v>
      </c>
      <c r="F21" s="163">
        <v>11</v>
      </c>
      <c r="G21" s="163">
        <v>1</v>
      </c>
      <c r="H21" s="163">
        <v>4</v>
      </c>
      <c r="I21" s="163">
        <v>24</v>
      </c>
      <c r="J21" s="264" t="s">
        <v>51</v>
      </c>
      <c r="K21" s="163">
        <v>12</v>
      </c>
    </row>
    <row r="22" spans="2:11" s="119" customFormat="1" ht="15" customHeight="1" x14ac:dyDescent="0.2">
      <c r="B22" s="58"/>
      <c r="C22" s="85"/>
      <c r="D22" s="312">
        <v>2017</v>
      </c>
      <c r="E22" s="167">
        <f t="shared" si="4"/>
        <v>57</v>
      </c>
      <c r="F22" s="163">
        <v>13</v>
      </c>
      <c r="G22" s="163" t="s">
        <v>51</v>
      </c>
      <c r="H22" s="163">
        <v>4</v>
      </c>
      <c r="I22" s="163">
        <v>19</v>
      </c>
      <c r="J22" s="264" t="s">
        <v>51</v>
      </c>
      <c r="K22" s="163">
        <v>21</v>
      </c>
    </row>
    <row r="23" spans="2:11" s="119" customFormat="1" ht="15" customHeight="1" x14ac:dyDescent="0.2">
      <c r="B23" s="58"/>
      <c r="C23" s="85"/>
      <c r="D23" s="312">
        <v>2018</v>
      </c>
      <c r="E23" s="167">
        <f>SUM(F23:K23)</f>
        <v>51</v>
      </c>
      <c r="F23" s="163">
        <v>13</v>
      </c>
      <c r="G23" s="264">
        <v>1</v>
      </c>
      <c r="H23" s="163">
        <v>1</v>
      </c>
      <c r="I23" s="163">
        <v>10</v>
      </c>
      <c r="J23" s="163" t="s">
        <v>51</v>
      </c>
      <c r="K23" s="163">
        <v>26</v>
      </c>
    </row>
    <row r="24" spans="2:11" s="119" customFormat="1" ht="8.1" customHeight="1" x14ac:dyDescent="0.2">
      <c r="B24" s="58"/>
      <c r="C24" s="85"/>
      <c r="D24" s="312"/>
      <c r="E24" s="167"/>
      <c r="F24" s="163"/>
      <c r="G24" s="163"/>
      <c r="H24" s="163"/>
      <c r="I24" s="163"/>
      <c r="J24" s="163"/>
      <c r="K24" s="163"/>
    </row>
    <row r="25" spans="2:11" s="53" customFormat="1" ht="15" customHeight="1" x14ac:dyDescent="0.2">
      <c r="B25" s="58" t="s">
        <v>59</v>
      </c>
      <c r="C25" s="85"/>
      <c r="D25" s="312">
        <v>2016</v>
      </c>
      <c r="E25" s="167">
        <f t="shared" ref="E25:E26" si="5">SUM(F25:K25)</f>
        <v>1649</v>
      </c>
      <c r="F25" s="163">
        <v>388</v>
      </c>
      <c r="G25" s="163">
        <v>25</v>
      </c>
      <c r="H25" s="163">
        <v>154</v>
      </c>
      <c r="I25" s="163">
        <v>755</v>
      </c>
      <c r="J25" s="163">
        <v>1</v>
      </c>
      <c r="K25" s="163">
        <v>326</v>
      </c>
    </row>
    <row r="26" spans="2:11" s="53" customFormat="1" ht="15" customHeight="1" x14ac:dyDescent="0.2">
      <c r="B26" s="58"/>
      <c r="C26" s="85"/>
      <c r="D26" s="312">
        <v>2017</v>
      </c>
      <c r="E26" s="167">
        <f t="shared" si="5"/>
        <v>1387</v>
      </c>
      <c r="F26" s="163">
        <v>344</v>
      </c>
      <c r="G26" s="163">
        <v>15</v>
      </c>
      <c r="H26" s="163">
        <v>80</v>
      </c>
      <c r="I26" s="163">
        <v>771</v>
      </c>
      <c r="J26" s="163" t="s">
        <v>51</v>
      </c>
      <c r="K26" s="163">
        <v>177</v>
      </c>
    </row>
    <row r="27" spans="2:11" s="53" customFormat="1" ht="15" customHeight="1" x14ac:dyDescent="0.2">
      <c r="B27" s="58"/>
      <c r="C27" s="85"/>
      <c r="D27" s="312">
        <v>2018</v>
      </c>
      <c r="E27" s="167">
        <f>SUM(F27:K27)</f>
        <v>1211</v>
      </c>
      <c r="F27" s="163">
        <v>300</v>
      </c>
      <c r="G27" s="163">
        <v>9</v>
      </c>
      <c r="H27" s="163">
        <v>79</v>
      </c>
      <c r="I27" s="163">
        <v>652</v>
      </c>
      <c r="J27" s="264">
        <v>2</v>
      </c>
      <c r="K27" s="163">
        <v>169</v>
      </c>
    </row>
    <row r="28" spans="2:11" s="53" customFormat="1" ht="8.1" customHeight="1" x14ac:dyDescent="0.2">
      <c r="B28" s="58"/>
      <c r="C28" s="85"/>
      <c r="D28" s="312"/>
      <c r="E28" s="167"/>
      <c r="F28" s="163"/>
      <c r="G28" s="163"/>
      <c r="H28" s="163"/>
      <c r="I28" s="163"/>
      <c r="J28" s="163"/>
      <c r="K28" s="163"/>
    </row>
    <row r="29" spans="2:11" s="53" customFormat="1" ht="15" customHeight="1" x14ac:dyDescent="0.2">
      <c r="B29" s="58" t="s">
        <v>60</v>
      </c>
      <c r="C29" s="85"/>
      <c r="D29" s="312">
        <v>2016</v>
      </c>
      <c r="E29" s="167">
        <f t="shared" ref="E29:E30" si="6">SUM(F29:K29)</f>
        <v>1691</v>
      </c>
      <c r="F29" s="163">
        <v>294</v>
      </c>
      <c r="G29" s="163">
        <v>43</v>
      </c>
      <c r="H29" s="163">
        <v>197</v>
      </c>
      <c r="I29" s="163">
        <v>886</v>
      </c>
      <c r="J29" s="163">
        <v>39</v>
      </c>
      <c r="K29" s="163">
        <v>232</v>
      </c>
    </row>
    <row r="30" spans="2:11" s="53" customFormat="1" ht="15" customHeight="1" x14ac:dyDescent="0.2">
      <c r="B30" s="58"/>
      <c r="C30" s="85"/>
      <c r="D30" s="312">
        <v>2017</v>
      </c>
      <c r="E30" s="167">
        <f t="shared" si="6"/>
        <v>1705</v>
      </c>
      <c r="F30" s="163">
        <v>375</v>
      </c>
      <c r="G30" s="163">
        <v>23</v>
      </c>
      <c r="H30" s="163">
        <v>170</v>
      </c>
      <c r="I30" s="163">
        <v>865</v>
      </c>
      <c r="J30" s="163">
        <v>4</v>
      </c>
      <c r="K30" s="163">
        <v>268</v>
      </c>
    </row>
    <row r="31" spans="2:11" s="53" customFormat="1" ht="15" customHeight="1" x14ac:dyDescent="0.2">
      <c r="B31" s="58"/>
      <c r="C31" s="85"/>
      <c r="D31" s="312">
        <v>2018</v>
      </c>
      <c r="E31" s="167">
        <f>SUM(F31:K31)</f>
        <v>1602</v>
      </c>
      <c r="F31" s="163">
        <v>360</v>
      </c>
      <c r="G31" s="163">
        <v>19</v>
      </c>
      <c r="H31" s="163">
        <v>174</v>
      </c>
      <c r="I31" s="163">
        <v>730</v>
      </c>
      <c r="J31" s="163">
        <v>3</v>
      </c>
      <c r="K31" s="163">
        <v>316</v>
      </c>
    </row>
    <row r="32" spans="2:11" s="53" customFormat="1" ht="8.1" customHeight="1" x14ac:dyDescent="0.2">
      <c r="B32" s="58"/>
      <c r="C32" s="85"/>
      <c r="D32" s="312"/>
      <c r="E32" s="167"/>
      <c r="F32" s="163"/>
      <c r="G32" s="163"/>
      <c r="H32" s="163"/>
      <c r="I32" s="163"/>
      <c r="J32" s="163"/>
      <c r="K32" s="163"/>
    </row>
    <row r="33" spans="2:11" s="53" customFormat="1" ht="15" customHeight="1" x14ac:dyDescent="0.2">
      <c r="B33" s="58" t="s">
        <v>61</v>
      </c>
      <c r="C33" s="85"/>
      <c r="D33" s="312">
        <v>2016</v>
      </c>
      <c r="E33" s="167">
        <f t="shared" ref="E33:E34" si="7">SUM(F33:K33)</f>
        <v>674</v>
      </c>
      <c r="F33" s="163">
        <v>168</v>
      </c>
      <c r="G33" s="163">
        <v>7</v>
      </c>
      <c r="H33" s="163">
        <v>36</v>
      </c>
      <c r="I33" s="163">
        <v>318</v>
      </c>
      <c r="J33" s="163">
        <v>22</v>
      </c>
      <c r="K33" s="163">
        <v>123</v>
      </c>
    </row>
    <row r="34" spans="2:11" s="53" customFormat="1" ht="15" customHeight="1" x14ac:dyDescent="0.2">
      <c r="B34" s="58"/>
      <c r="C34" s="85"/>
      <c r="D34" s="312">
        <v>2017</v>
      </c>
      <c r="E34" s="167">
        <f t="shared" si="7"/>
        <v>673</v>
      </c>
      <c r="F34" s="163">
        <v>237</v>
      </c>
      <c r="G34" s="163">
        <v>3</v>
      </c>
      <c r="H34" s="163">
        <v>18</v>
      </c>
      <c r="I34" s="163">
        <v>240</v>
      </c>
      <c r="J34" s="163">
        <v>3</v>
      </c>
      <c r="K34" s="163">
        <v>172</v>
      </c>
    </row>
    <row r="35" spans="2:11" s="53" customFormat="1" ht="15" customHeight="1" x14ac:dyDescent="0.2">
      <c r="B35" s="58"/>
      <c r="C35" s="85"/>
      <c r="D35" s="312">
        <v>2018</v>
      </c>
      <c r="E35" s="167">
        <f>SUM(F35:K35)</f>
        <v>501</v>
      </c>
      <c r="F35" s="163">
        <v>140</v>
      </c>
      <c r="G35" s="163">
        <v>5</v>
      </c>
      <c r="H35" s="163">
        <v>22</v>
      </c>
      <c r="I35" s="163">
        <v>192</v>
      </c>
      <c r="J35" s="163">
        <v>4</v>
      </c>
      <c r="K35" s="163">
        <v>138</v>
      </c>
    </row>
    <row r="36" spans="2:11" s="53" customFormat="1" ht="8.1" customHeight="1" x14ac:dyDescent="0.2">
      <c r="B36" s="58"/>
      <c r="C36" s="85"/>
      <c r="D36" s="312"/>
      <c r="E36" s="167"/>
      <c r="F36" s="163"/>
      <c r="G36" s="163"/>
      <c r="H36" s="163"/>
      <c r="I36" s="163"/>
      <c r="J36" s="163"/>
      <c r="K36" s="163"/>
    </row>
    <row r="37" spans="2:11" s="53" customFormat="1" ht="15" customHeight="1" x14ac:dyDescent="0.2">
      <c r="B37" s="58" t="s">
        <v>62</v>
      </c>
      <c r="C37" s="85"/>
      <c r="D37" s="312">
        <v>2016</v>
      </c>
      <c r="E37" s="167">
        <f t="shared" ref="E37:E38" si="8">SUM(F37:K37)</f>
        <v>909</v>
      </c>
      <c r="F37" s="163">
        <v>216</v>
      </c>
      <c r="G37" s="163">
        <v>26</v>
      </c>
      <c r="H37" s="163">
        <v>67</v>
      </c>
      <c r="I37" s="163">
        <v>473</v>
      </c>
      <c r="J37" s="163">
        <v>15</v>
      </c>
      <c r="K37" s="163">
        <v>112</v>
      </c>
    </row>
    <row r="38" spans="2:11" s="53" customFormat="1" ht="15" customHeight="1" x14ac:dyDescent="0.2">
      <c r="B38" s="58"/>
      <c r="C38" s="85"/>
      <c r="D38" s="312">
        <v>2017</v>
      </c>
      <c r="E38" s="167">
        <f t="shared" si="8"/>
        <v>847</v>
      </c>
      <c r="F38" s="163">
        <v>168</v>
      </c>
      <c r="G38" s="163">
        <v>32</v>
      </c>
      <c r="H38" s="163">
        <v>71</v>
      </c>
      <c r="I38" s="163">
        <v>415</v>
      </c>
      <c r="J38" s="163">
        <v>3</v>
      </c>
      <c r="K38" s="163">
        <v>158</v>
      </c>
    </row>
    <row r="39" spans="2:11" s="53" customFormat="1" ht="15" customHeight="1" x14ac:dyDescent="0.2">
      <c r="B39" s="58"/>
      <c r="C39" s="85"/>
      <c r="D39" s="312">
        <v>2018</v>
      </c>
      <c r="E39" s="167">
        <f>SUM(F39:K39)</f>
        <v>727</v>
      </c>
      <c r="F39" s="163">
        <v>133</v>
      </c>
      <c r="G39" s="163">
        <v>19</v>
      </c>
      <c r="H39" s="163">
        <v>55</v>
      </c>
      <c r="I39" s="163">
        <v>400</v>
      </c>
      <c r="J39" s="163">
        <v>1</v>
      </c>
      <c r="K39" s="163">
        <v>119</v>
      </c>
    </row>
    <row r="40" spans="2:11" s="53" customFormat="1" ht="8.1" customHeight="1" x14ac:dyDescent="0.2">
      <c r="B40" s="58"/>
      <c r="C40" s="85"/>
      <c r="D40" s="312"/>
      <c r="E40" s="167"/>
      <c r="F40" s="163"/>
      <c r="G40" s="163"/>
      <c r="H40" s="163"/>
      <c r="I40" s="163"/>
      <c r="J40" s="163"/>
      <c r="K40" s="163"/>
    </row>
    <row r="41" spans="2:11" s="53" customFormat="1" ht="15" customHeight="1" x14ac:dyDescent="0.2">
      <c r="B41" s="58" t="s">
        <v>63</v>
      </c>
      <c r="C41" s="85"/>
      <c r="D41" s="312">
        <v>2016</v>
      </c>
      <c r="E41" s="167">
        <f t="shared" ref="E41:E42" si="9">SUM(F41:K41)</f>
        <v>388</v>
      </c>
      <c r="F41" s="163">
        <v>96</v>
      </c>
      <c r="G41" s="163">
        <v>1</v>
      </c>
      <c r="H41" s="163">
        <v>6</v>
      </c>
      <c r="I41" s="163">
        <v>142</v>
      </c>
      <c r="J41" s="163">
        <v>9</v>
      </c>
      <c r="K41" s="163">
        <v>134</v>
      </c>
    </row>
    <row r="42" spans="2:11" s="53" customFormat="1" ht="15" customHeight="1" x14ac:dyDescent="0.2">
      <c r="B42" s="58"/>
      <c r="C42" s="85"/>
      <c r="D42" s="312">
        <v>2017</v>
      </c>
      <c r="E42" s="167">
        <f t="shared" si="9"/>
        <v>353</v>
      </c>
      <c r="F42" s="163">
        <v>80</v>
      </c>
      <c r="G42" s="163" t="s">
        <v>51</v>
      </c>
      <c r="H42" s="163">
        <v>2</v>
      </c>
      <c r="I42" s="163">
        <v>117</v>
      </c>
      <c r="J42" s="163">
        <v>17</v>
      </c>
      <c r="K42" s="163">
        <v>137</v>
      </c>
    </row>
    <row r="43" spans="2:11" s="53" customFormat="1" ht="15" customHeight="1" x14ac:dyDescent="0.2">
      <c r="B43" s="58"/>
      <c r="C43" s="85"/>
      <c r="D43" s="312">
        <v>2018</v>
      </c>
      <c r="E43" s="167">
        <f>SUM(F43:K43)</f>
        <v>355</v>
      </c>
      <c r="F43" s="163">
        <v>56</v>
      </c>
      <c r="G43" s="163" t="s">
        <v>51</v>
      </c>
      <c r="H43" s="163">
        <v>3</v>
      </c>
      <c r="I43" s="163">
        <v>116</v>
      </c>
      <c r="J43" s="163" t="s">
        <v>51</v>
      </c>
      <c r="K43" s="163">
        <v>180</v>
      </c>
    </row>
    <row r="44" spans="2:11" s="53" customFormat="1" ht="8.1" customHeight="1" x14ac:dyDescent="0.2">
      <c r="B44" s="58"/>
      <c r="C44" s="85"/>
      <c r="D44" s="312"/>
      <c r="E44" s="167"/>
      <c r="F44" s="163"/>
      <c r="G44" s="163"/>
      <c r="H44" s="163"/>
      <c r="I44" s="163"/>
      <c r="J44" s="163"/>
      <c r="K44" s="163"/>
    </row>
    <row r="45" spans="2:11" s="53" customFormat="1" ht="15" customHeight="1" x14ac:dyDescent="0.2">
      <c r="B45" s="58" t="s">
        <v>64</v>
      </c>
      <c r="C45" s="85"/>
      <c r="D45" s="312">
        <v>2016</v>
      </c>
      <c r="E45" s="167">
        <f t="shared" ref="E45:E46" si="10">SUM(F45:K45)</f>
        <v>81</v>
      </c>
      <c r="F45" s="163">
        <v>10</v>
      </c>
      <c r="G45" s="264">
        <v>2</v>
      </c>
      <c r="H45" s="163">
        <v>2</v>
      </c>
      <c r="I45" s="163">
        <v>49</v>
      </c>
      <c r="J45" s="163" t="s">
        <v>51</v>
      </c>
      <c r="K45" s="163">
        <v>18</v>
      </c>
    </row>
    <row r="46" spans="2:11" s="53" customFormat="1" ht="15" customHeight="1" x14ac:dyDescent="0.2">
      <c r="B46" s="58"/>
      <c r="C46" s="85"/>
      <c r="D46" s="312">
        <v>2017</v>
      </c>
      <c r="E46" s="167">
        <f t="shared" si="10"/>
        <v>100</v>
      </c>
      <c r="F46" s="163">
        <v>26</v>
      </c>
      <c r="G46" s="163">
        <v>1</v>
      </c>
      <c r="H46" s="163">
        <v>4</v>
      </c>
      <c r="I46" s="163">
        <v>53</v>
      </c>
      <c r="J46" s="264">
        <v>1</v>
      </c>
      <c r="K46" s="163">
        <v>15</v>
      </c>
    </row>
    <row r="47" spans="2:11" s="53" customFormat="1" ht="15" customHeight="1" x14ac:dyDescent="0.2">
      <c r="B47" s="58"/>
      <c r="C47" s="85"/>
      <c r="D47" s="312">
        <v>2018</v>
      </c>
      <c r="E47" s="167">
        <f>SUM(F47:K47)</f>
        <v>90</v>
      </c>
      <c r="F47" s="163">
        <v>10</v>
      </c>
      <c r="G47" s="163" t="s">
        <v>51</v>
      </c>
      <c r="H47" s="163">
        <v>2</v>
      </c>
      <c r="I47" s="163">
        <v>46</v>
      </c>
      <c r="J47" s="163">
        <v>1</v>
      </c>
      <c r="K47" s="163">
        <v>31</v>
      </c>
    </row>
    <row r="48" spans="2:11" s="53" customFormat="1" ht="8.1" customHeight="1" x14ac:dyDescent="0.2">
      <c r="B48" s="58"/>
      <c r="C48" s="85"/>
      <c r="D48" s="312"/>
      <c r="E48" s="167"/>
      <c r="F48" s="163"/>
      <c r="G48" s="163"/>
      <c r="H48" s="163"/>
      <c r="I48" s="163"/>
      <c r="J48" s="163"/>
      <c r="K48" s="163"/>
    </row>
    <row r="49" spans="1:12" s="53" customFormat="1" ht="15" customHeight="1" x14ac:dyDescent="0.2">
      <c r="B49" s="58" t="s">
        <v>65</v>
      </c>
      <c r="C49" s="85"/>
      <c r="D49" s="312">
        <v>2016</v>
      </c>
      <c r="E49" s="167">
        <f t="shared" ref="E49:E50" si="11">SUM(F49:K49)</f>
        <v>194</v>
      </c>
      <c r="F49" s="163">
        <v>40</v>
      </c>
      <c r="G49" s="163">
        <v>1</v>
      </c>
      <c r="H49" s="163">
        <v>6</v>
      </c>
      <c r="I49" s="163">
        <v>113</v>
      </c>
      <c r="J49" s="163">
        <v>4</v>
      </c>
      <c r="K49" s="163">
        <v>30</v>
      </c>
    </row>
    <row r="50" spans="1:12" s="53" customFormat="1" ht="15" customHeight="1" x14ac:dyDescent="0.2">
      <c r="B50" s="58"/>
      <c r="C50" s="85"/>
      <c r="D50" s="312">
        <v>2017</v>
      </c>
      <c r="E50" s="167">
        <f t="shared" si="11"/>
        <v>208</v>
      </c>
      <c r="F50" s="163">
        <v>42</v>
      </c>
      <c r="G50" s="163">
        <v>4</v>
      </c>
      <c r="H50" s="163">
        <v>9</v>
      </c>
      <c r="I50" s="163">
        <v>99</v>
      </c>
      <c r="J50" s="163" t="s">
        <v>51</v>
      </c>
      <c r="K50" s="163">
        <v>54</v>
      </c>
    </row>
    <row r="51" spans="1:12" s="53" customFormat="1" ht="15" customHeight="1" x14ac:dyDescent="0.2">
      <c r="A51" s="119"/>
      <c r="B51" s="58"/>
      <c r="C51" s="85"/>
      <c r="D51" s="312">
        <v>2018</v>
      </c>
      <c r="E51" s="167">
        <f>SUM(F51:K51)</f>
        <v>208</v>
      </c>
      <c r="F51" s="163">
        <v>39</v>
      </c>
      <c r="G51" s="163" t="s">
        <v>51</v>
      </c>
      <c r="H51" s="163">
        <v>6</v>
      </c>
      <c r="I51" s="163">
        <v>124</v>
      </c>
      <c r="J51" s="163" t="s">
        <v>51</v>
      </c>
      <c r="K51" s="163">
        <v>39</v>
      </c>
    </row>
    <row r="52" spans="1:12" s="53" customFormat="1" ht="8.1" customHeight="1" x14ac:dyDescent="0.2">
      <c r="B52" s="58"/>
      <c r="C52" s="85"/>
      <c r="D52" s="312"/>
      <c r="E52" s="167"/>
      <c r="F52" s="163"/>
      <c r="G52" s="163"/>
      <c r="H52" s="163"/>
      <c r="I52" s="163"/>
      <c r="J52" s="163"/>
      <c r="K52" s="163"/>
    </row>
    <row r="53" spans="1:12" s="119" customFormat="1" ht="15" customHeight="1" x14ac:dyDescent="0.2">
      <c r="B53" s="58" t="s">
        <v>66</v>
      </c>
      <c r="C53" s="85"/>
      <c r="D53" s="312">
        <v>2016</v>
      </c>
      <c r="E53" s="167">
        <f t="shared" ref="E53:E54" si="12">SUM(F53:K53)</f>
        <v>86</v>
      </c>
      <c r="F53" s="163">
        <v>7</v>
      </c>
      <c r="G53" s="163" t="s">
        <v>51</v>
      </c>
      <c r="H53" s="163">
        <v>5</v>
      </c>
      <c r="I53" s="163">
        <v>60</v>
      </c>
      <c r="J53" s="163">
        <v>2</v>
      </c>
      <c r="K53" s="163">
        <v>12</v>
      </c>
    </row>
    <row r="54" spans="1:12" s="119" customFormat="1" ht="15" customHeight="1" x14ac:dyDescent="0.2">
      <c r="B54" s="58"/>
      <c r="C54" s="85"/>
      <c r="D54" s="312">
        <v>2017</v>
      </c>
      <c r="E54" s="167">
        <f t="shared" si="12"/>
        <v>55</v>
      </c>
      <c r="F54" s="163">
        <v>8</v>
      </c>
      <c r="G54" s="264">
        <v>1</v>
      </c>
      <c r="H54" s="163">
        <v>1</v>
      </c>
      <c r="I54" s="163">
        <v>28</v>
      </c>
      <c r="J54" s="163" t="s">
        <v>51</v>
      </c>
      <c r="K54" s="163">
        <v>17</v>
      </c>
    </row>
    <row r="55" spans="1:12" s="119" customFormat="1" ht="15" customHeight="1" x14ac:dyDescent="0.2">
      <c r="B55" s="58"/>
      <c r="C55" s="85"/>
      <c r="D55" s="312">
        <v>2018</v>
      </c>
      <c r="E55" s="167">
        <f>SUM(F55:K55)</f>
        <v>64</v>
      </c>
      <c r="F55" s="163">
        <v>8</v>
      </c>
      <c r="G55" s="163" t="s">
        <v>51</v>
      </c>
      <c r="H55" s="163">
        <v>6</v>
      </c>
      <c r="I55" s="163">
        <v>38</v>
      </c>
      <c r="J55" s="163" t="s">
        <v>51</v>
      </c>
      <c r="K55" s="163">
        <v>12</v>
      </c>
    </row>
    <row r="56" spans="1:12" s="119" customFormat="1" ht="8.1" customHeight="1" x14ac:dyDescent="0.2">
      <c r="B56" s="58"/>
      <c r="C56" s="85"/>
      <c r="D56" s="312"/>
      <c r="E56" s="167"/>
      <c r="F56" s="163"/>
      <c r="G56" s="163"/>
      <c r="H56" s="163"/>
      <c r="I56" s="163"/>
      <c r="J56" s="163"/>
      <c r="K56" s="163"/>
    </row>
    <row r="57" spans="1:12" s="119" customFormat="1" ht="15" customHeight="1" x14ac:dyDescent="0.2">
      <c r="B57" s="58" t="s">
        <v>67</v>
      </c>
      <c r="C57" s="85"/>
      <c r="D57" s="312">
        <v>2016</v>
      </c>
      <c r="E57" s="167">
        <f t="shared" ref="E57:E58" si="13">SUM(F57:K57)</f>
        <v>126</v>
      </c>
      <c r="F57" s="163">
        <v>16</v>
      </c>
      <c r="G57" s="163">
        <v>1</v>
      </c>
      <c r="H57" s="163">
        <v>3</v>
      </c>
      <c r="I57" s="163">
        <v>81</v>
      </c>
      <c r="J57" s="163">
        <v>2</v>
      </c>
      <c r="K57" s="163">
        <v>23</v>
      </c>
    </row>
    <row r="58" spans="1:12" s="119" customFormat="1" ht="15" customHeight="1" x14ac:dyDescent="0.2">
      <c r="B58" s="58"/>
      <c r="C58" s="85"/>
      <c r="D58" s="312">
        <v>2017</v>
      </c>
      <c r="E58" s="167">
        <f t="shared" si="13"/>
        <v>123</v>
      </c>
      <c r="F58" s="163">
        <v>11</v>
      </c>
      <c r="G58" s="163">
        <v>2</v>
      </c>
      <c r="H58" s="163">
        <v>6</v>
      </c>
      <c r="I58" s="163">
        <v>86</v>
      </c>
      <c r="J58" s="163">
        <v>1</v>
      </c>
      <c r="K58" s="163">
        <v>17</v>
      </c>
    </row>
    <row r="59" spans="1:12" s="119" customFormat="1" ht="15" customHeight="1" x14ac:dyDescent="0.2">
      <c r="B59" s="58"/>
      <c r="C59" s="85"/>
      <c r="D59" s="312">
        <v>2018</v>
      </c>
      <c r="E59" s="167">
        <f>SUM(F59:K59)</f>
        <v>142</v>
      </c>
      <c r="F59" s="163">
        <v>5</v>
      </c>
      <c r="G59" s="163">
        <v>3</v>
      </c>
      <c r="H59" s="163">
        <v>7</v>
      </c>
      <c r="I59" s="163">
        <v>114</v>
      </c>
      <c r="J59" s="163" t="s">
        <v>51</v>
      </c>
      <c r="K59" s="163">
        <v>13</v>
      </c>
    </row>
    <row r="60" spans="1:12" s="7" customFormat="1" ht="8.1" customHeight="1" thickBot="1" x14ac:dyDescent="0.25">
      <c r="A60" s="34"/>
      <c r="B60" s="16"/>
      <c r="C60" s="187"/>
      <c r="D60" s="265"/>
      <c r="E60" s="202"/>
      <c r="F60" s="202"/>
      <c r="G60" s="202"/>
      <c r="H60" s="202"/>
      <c r="I60" s="202"/>
      <c r="J60" s="178"/>
      <c r="K60" s="202"/>
      <c r="L60" s="34"/>
    </row>
    <row r="61" spans="1:12" x14ac:dyDescent="0.25">
      <c r="B61" s="266"/>
      <c r="C61" s="266"/>
      <c r="D61" s="267"/>
      <c r="E61" s="206"/>
      <c r="F61" s="207"/>
      <c r="G61" s="7"/>
      <c r="H61" s="7"/>
      <c r="I61" s="268"/>
      <c r="J61" s="208"/>
      <c r="K61" s="8" t="s">
        <v>101</v>
      </c>
    </row>
    <row r="62" spans="1:12" x14ac:dyDescent="0.25">
      <c r="B62" s="7"/>
      <c r="C62" s="7"/>
      <c r="D62" s="267"/>
      <c r="E62" s="269"/>
      <c r="F62" s="267"/>
      <c r="G62" s="266"/>
      <c r="H62" s="266"/>
      <c r="I62" s="267"/>
      <c r="J62" s="207"/>
      <c r="K62" s="41" t="s">
        <v>1</v>
      </c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abSelected="1" zoomScaleNormal="100" zoomScaleSheetLayoutView="100" workbookViewId="0">
      <selection activeCell="J23" sqref="J23"/>
    </sheetView>
  </sheetViews>
  <sheetFormatPr defaultRowHeight="15" x14ac:dyDescent="0.25"/>
  <cols>
    <col min="1" max="1" width="0.85546875" style="2" customWidth="1"/>
    <col min="2" max="2" width="10" style="3" customWidth="1"/>
    <col min="3" max="3" width="7.42578125" style="3" customWidth="1"/>
    <col min="4" max="4" width="8.5703125" style="3" customWidth="1"/>
    <col min="5" max="5" width="11.7109375" style="4" customWidth="1"/>
    <col min="6" max="7" width="11.7109375" style="5" customWidth="1"/>
    <col min="8" max="8" width="11.7109375" style="209" customWidth="1"/>
    <col min="9" max="9" width="12.28515625" style="5" customWidth="1"/>
    <col min="10" max="11" width="11.7109375" style="2" customWidth="1"/>
    <col min="12" max="12" width="0.710937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105" customFormat="1" ht="8.1" customHeight="1" x14ac:dyDescent="0.2">
      <c r="A12" s="109"/>
      <c r="B12" s="263"/>
      <c r="C12" s="263"/>
      <c r="D12" s="170"/>
      <c r="E12" s="93"/>
      <c r="F12" s="243"/>
      <c r="G12" s="93"/>
      <c r="H12" s="93"/>
      <c r="I12" s="93"/>
      <c r="J12" s="243"/>
      <c r="K12" s="93"/>
      <c r="L12" s="109"/>
    </row>
    <row r="13" spans="1:12" s="119" customFormat="1" ht="15" customHeight="1" x14ac:dyDescent="0.2">
      <c r="B13" s="64" t="s">
        <v>188</v>
      </c>
      <c r="D13" s="270">
        <v>2016</v>
      </c>
      <c r="E13" s="271">
        <f>SUM(F13:K13)</f>
        <v>4005</v>
      </c>
      <c r="F13" s="271">
        <f>SUM(F17,F21,F25,F29,F33,F37,F41,F45,F49,F53)</f>
        <v>682</v>
      </c>
      <c r="G13" s="271">
        <f t="shared" ref="G13:K13" si="0">SUM(G17,G21,G25,G29,G33,G37,G41,G45,G49,G53)</f>
        <v>90</v>
      </c>
      <c r="H13" s="271">
        <f t="shared" si="0"/>
        <v>614</v>
      </c>
      <c r="I13" s="271">
        <f t="shared" si="0"/>
        <v>1945</v>
      </c>
      <c r="J13" s="271">
        <f t="shared" si="0"/>
        <v>61</v>
      </c>
      <c r="K13" s="271">
        <f t="shared" si="0"/>
        <v>613</v>
      </c>
    </row>
    <row r="14" spans="1:12" s="119" customFormat="1" ht="15" customHeight="1" x14ac:dyDescent="0.2">
      <c r="B14" s="109"/>
      <c r="D14" s="270">
        <v>2017</v>
      </c>
      <c r="E14" s="271">
        <f>SUM(F14:K14)</f>
        <v>3920</v>
      </c>
      <c r="F14" s="271">
        <f t="shared" ref="F14:K15" si="1">SUM(F18,F22,F26,F30,F34,F38,F42,F46,F50,F54)</f>
        <v>570</v>
      </c>
      <c r="G14" s="271">
        <f t="shared" si="1"/>
        <v>98</v>
      </c>
      <c r="H14" s="271">
        <f t="shared" si="1"/>
        <v>722</v>
      </c>
      <c r="I14" s="271">
        <f t="shared" si="1"/>
        <v>1983</v>
      </c>
      <c r="J14" s="319" t="s">
        <v>51</v>
      </c>
      <c r="K14" s="271">
        <f t="shared" si="1"/>
        <v>547</v>
      </c>
    </row>
    <row r="15" spans="1:12" s="119" customFormat="1" ht="15" customHeight="1" x14ac:dyDescent="0.2">
      <c r="B15" s="109"/>
      <c r="D15" s="270">
        <v>2018</v>
      </c>
      <c r="E15" s="271">
        <f>SUM(F15:K15)</f>
        <v>3476</v>
      </c>
      <c r="F15" s="271">
        <f t="shared" si="1"/>
        <v>699</v>
      </c>
      <c r="G15" s="271">
        <f t="shared" si="1"/>
        <v>64</v>
      </c>
      <c r="H15" s="271">
        <f t="shared" si="1"/>
        <v>489</v>
      </c>
      <c r="I15" s="271">
        <f t="shared" si="1"/>
        <v>1611</v>
      </c>
      <c r="J15" s="319" t="s">
        <v>51</v>
      </c>
      <c r="K15" s="271">
        <f t="shared" si="1"/>
        <v>613</v>
      </c>
      <c r="L15" s="272">
        <f t="shared" ref="L15" si="2">L19+L23+L27+L31+L35+L39+L43+L47+L51+L55</f>
        <v>0</v>
      </c>
    </row>
    <row r="16" spans="1:12" s="119" customFormat="1" ht="8.1" customHeight="1" x14ac:dyDescent="0.2">
      <c r="B16" s="109"/>
      <c r="D16" s="248"/>
      <c r="E16" s="248"/>
      <c r="F16" s="273"/>
      <c r="G16" s="273"/>
      <c r="H16" s="273"/>
      <c r="I16" s="273"/>
      <c r="J16" s="273"/>
      <c r="K16" s="273"/>
    </row>
    <row r="17" spans="1:11" s="119" customFormat="1" ht="15" customHeight="1" x14ac:dyDescent="0.25">
      <c r="A17" s="118"/>
      <c r="B17" s="58" t="s">
        <v>11</v>
      </c>
      <c r="C17" s="85"/>
      <c r="D17" s="248">
        <v>2016</v>
      </c>
      <c r="E17" s="273">
        <f t="shared" ref="E17:E18" si="3">SUM(F17:K17)</f>
        <v>290</v>
      </c>
      <c r="F17" s="313">
        <v>73</v>
      </c>
      <c r="G17" s="314">
        <v>5</v>
      </c>
      <c r="H17" s="314">
        <v>17</v>
      </c>
      <c r="I17" s="314">
        <v>104</v>
      </c>
      <c r="J17" s="314">
        <v>3</v>
      </c>
      <c r="K17" s="314">
        <v>88</v>
      </c>
    </row>
    <row r="18" spans="1:11" s="119" customFormat="1" ht="15" customHeight="1" x14ac:dyDescent="0.25">
      <c r="B18" s="58"/>
      <c r="C18" s="85"/>
      <c r="D18" s="248">
        <v>2017</v>
      </c>
      <c r="E18" s="273">
        <f t="shared" si="3"/>
        <v>253</v>
      </c>
      <c r="F18" s="313">
        <f>55+12</f>
        <v>67</v>
      </c>
      <c r="G18" s="314">
        <v>5</v>
      </c>
      <c r="H18" s="314">
        <v>19</v>
      </c>
      <c r="I18" s="314">
        <v>130</v>
      </c>
      <c r="J18" s="315" t="s">
        <v>51</v>
      </c>
      <c r="K18" s="314">
        <f>3+4+10+1+14</f>
        <v>32</v>
      </c>
    </row>
    <row r="19" spans="1:11" s="119" customFormat="1" ht="15" customHeight="1" x14ac:dyDescent="0.25">
      <c r="B19" s="58"/>
      <c r="C19" s="85"/>
      <c r="D19" s="248">
        <v>2018</v>
      </c>
      <c r="E19" s="273">
        <f>SUM(F19:K19)</f>
        <v>217</v>
      </c>
      <c r="F19" s="313">
        <v>44</v>
      </c>
      <c r="G19" s="314">
        <v>3</v>
      </c>
      <c r="H19" s="314">
        <v>20</v>
      </c>
      <c r="I19" s="314">
        <v>109</v>
      </c>
      <c r="J19" s="409" t="s">
        <v>51</v>
      </c>
      <c r="K19" s="314">
        <v>41</v>
      </c>
    </row>
    <row r="20" spans="1:11" s="119" customFormat="1" ht="8.1" customHeight="1" x14ac:dyDescent="0.25">
      <c r="A20" s="53"/>
      <c r="B20" s="58"/>
      <c r="C20" s="85"/>
      <c r="D20" s="248"/>
      <c r="E20" s="273"/>
      <c r="F20" s="313"/>
      <c r="G20" s="316"/>
      <c r="H20" s="316"/>
      <c r="I20" s="314"/>
      <c r="J20" s="316"/>
      <c r="K20" s="316"/>
    </row>
    <row r="21" spans="1:11" s="119" customFormat="1" ht="15" customHeight="1" x14ac:dyDescent="0.25">
      <c r="A21" s="53"/>
      <c r="B21" s="58" t="s">
        <v>18</v>
      </c>
      <c r="C21" s="85"/>
      <c r="D21" s="248">
        <v>2016</v>
      </c>
      <c r="E21" s="273">
        <f t="shared" ref="E21:E22" si="4">SUM(F21:K21)</f>
        <v>192</v>
      </c>
      <c r="F21" s="313">
        <v>34</v>
      </c>
      <c r="G21" s="314">
        <v>3</v>
      </c>
      <c r="H21" s="314">
        <v>36</v>
      </c>
      <c r="I21" s="314">
        <v>93</v>
      </c>
      <c r="J21" s="314">
        <v>2</v>
      </c>
      <c r="K21" s="314">
        <v>24</v>
      </c>
    </row>
    <row r="22" spans="1:11" s="119" customFormat="1" ht="15" customHeight="1" x14ac:dyDescent="0.25">
      <c r="A22" s="53"/>
      <c r="B22" s="58"/>
      <c r="C22" s="85"/>
      <c r="D22" s="248">
        <v>2017</v>
      </c>
      <c r="E22" s="273">
        <f t="shared" si="4"/>
        <v>164</v>
      </c>
      <c r="F22" s="317">
        <f>24+2</f>
        <v>26</v>
      </c>
      <c r="G22" s="314">
        <v>2</v>
      </c>
      <c r="H22" s="314">
        <v>26</v>
      </c>
      <c r="I22" s="315">
        <v>72</v>
      </c>
      <c r="J22" s="315" t="s">
        <v>51</v>
      </c>
      <c r="K22" s="314">
        <f>4+5+12+17</f>
        <v>38</v>
      </c>
    </row>
    <row r="23" spans="1:11" s="119" customFormat="1" ht="15" customHeight="1" x14ac:dyDescent="0.25">
      <c r="B23" s="58"/>
      <c r="C23" s="85"/>
      <c r="D23" s="248">
        <v>2018</v>
      </c>
      <c r="E23" s="273">
        <f>SUM(F23:K23)</f>
        <v>123</v>
      </c>
      <c r="F23" s="313">
        <v>16</v>
      </c>
      <c r="G23" s="313">
        <v>8</v>
      </c>
      <c r="H23" s="313">
        <v>17</v>
      </c>
      <c r="I23" s="313">
        <v>42</v>
      </c>
      <c r="J23" s="409" t="s">
        <v>51</v>
      </c>
      <c r="K23" s="313">
        <v>40</v>
      </c>
    </row>
    <row r="24" spans="1:11" s="119" customFormat="1" ht="8.1" customHeight="1" x14ac:dyDescent="0.25">
      <c r="B24" s="58"/>
      <c r="C24" s="85"/>
      <c r="D24" s="248"/>
      <c r="E24" s="273"/>
      <c r="F24" s="317"/>
      <c r="G24" s="314"/>
      <c r="H24" s="314"/>
      <c r="I24" s="315"/>
      <c r="J24" s="314"/>
      <c r="K24" s="314"/>
    </row>
    <row r="25" spans="1:11" s="119" customFormat="1" ht="15" customHeight="1" x14ac:dyDescent="0.25">
      <c r="B25" s="58" t="s">
        <v>20</v>
      </c>
      <c r="C25" s="85"/>
      <c r="D25" s="248">
        <v>2016</v>
      </c>
      <c r="E25" s="273">
        <f t="shared" ref="E25:E26" si="5">SUM(F25:K25)</f>
        <v>38</v>
      </c>
      <c r="F25" s="313">
        <v>12</v>
      </c>
      <c r="G25" s="314">
        <v>2</v>
      </c>
      <c r="H25" s="314">
        <v>2</v>
      </c>
      <c r="I25" s="314">
        <v>15</v>
      </c>
      <c r="J25" s="315" t="s">
        <v>51</v>
      </c>
      <c r="K25" s="314">
        <v>7</v>
      </c>
    </row>
    <row r="26" spans="1:11" s="119" customFormat="1" ht="15" customHeight="1" x14ac:dyDescent="0.25">
      <c r="A26" s="53"/>
      <c r="B26" s="58"/>
      <c r="C26" s="85"/>
      <c r="D26" s="248">
        <v>2017</v>
      </c>
      <c r="E26" s="273">
        <f t="shared" si="5"/>
        <v>43</v>
      </c>
      <c r="F26" s="313">
        <f>10+4</f>
        <v>14</v>
      </c>
      <c r="G26" s="315" t="s">
        <v>51</v>
      </c>
      <c r="H26" s="314">
        <v>3</v>
      </c>
      <c r="I26" s="314">
        <v>22</v>
      </c>
      <c r="J26" s="315" t="s">
        <v>51</v>
      </c>
      <c r="K26" s="314">
        <f>1+3</f>
        <v>4</v>
      </c>
    </row>
    <row r="27" spans="1:11" s="53" customFormat="1" ht="15" customHeight="1" x14ac:dyDescent="0.25">
      <c r="A27" s="119"/>
      <c r="B27" s="58"/>
      <c r="C27" s="85"/>
      <c r="D27" s="248">
        <v>2018</v>
      </c>
      <c r="E27" s="273">
        <f>SUM(F27:K27)</f>
        <v>43</v>
      </c>
      <c r="F27" s="336">
        <v>15</v>
      </c>
      <c r="G27" s="336">
        <v>2</v>
      </c>
      <c r="H27" s="336">
        <v>2</v>
      </c>
      <c r="I27" s="336">
        <v>16</v>
      </c>
      <c r="J27" s="406" t="s">
        <v>51</v>
      </c>
      <c r="K27" s="336">
        <v>8</v>
      </c>
    </row>
    <row r="28" spans="1:11" s="53" customFormat="1" ht="8.1" customHeight="1" x14ac:dyDescent="0.25">
      <c r="A28" s="119"/>
      <c r="B28" s="58"/>
      <c r="C28" s="85"/>
      <c r="D28" s="248"/>
      <c r="E28" s="273"/>
      <c r="F28" s="313"/>
      <c r="G28" s="314"/>
      <c r="H28" s="314"/>
      <c r="I28" s="314"/>
      <c r="J28" s="314"/>
      <c r="K28" s="314"/>
    </row>
    <row r="29" spans="1:11" s="53" customFormat="1" ht="15" customHeight="1" x14ac:dyDescent="0.25">
      <c r="B29" s="58" t="s">
        <v>12</v>
      </c>
      <c r="C29" s="85"/>
      <c r="D29" s="248">
        <v>2016</v>
      </c>
      <c r="E29" s="273">
        <f t="shared" ref="E29:E30" si="6">SUM(F29:K29)</f>
        <v>1734</v>
      </c>
      <c r="F29" s="313">
        <v>206</v>
      </c>
      <c r="G29" s="314">
        <v>62</v>
      </c>
      <c r="H29" s="314">
        <v>396</v>
      </c>
      <c r="I29" s="314">
        <v>928</v>
      </c>
      <c r="J29" s="314">
        <v>5</v>
      </c>
      <c r="K29" s="314">
        <v>137</v>
      </c>
    </row>
    <row r="30" spans="1:11" s="53" customFormat="1" ht="15" customHeight="1" x14ac:dyDescent="0.25">
      <c r="B30" s="58"/>
      <c r="C30" s="85"/>
      <c r="D30" s="248">
        <v>2017</v>
      </c>
      <c r="E30" s="273">
        <f t="shared" si="6"/>
        <v>1812</v>
      </c>
      <c r="F30" s="313">
        <f>131+27</f>
        <v>158</v>
      </c>
      <c r="G30" s="314">
        <f>1+65</f>
        <v>66</v>
      </c>
      <c r="H30" s="314">
        <v>434</v>
      </c>
      <c r="I30" s="314">
        <v>1013</v>
      </c>
      <c r="J30" s="315" t="s">
        <v>51</v>
      </c>
      <c r="K30" s="314">
        <f>19+13+76+1+32</f>
        <v>141</v>
      </c>
    </row>
    <row r="31" spans="1:11" s="53" customFormat="1" ht="15" customHeight="1" x14ac:dyDescent="0.25">
      <c r="A31" s="119"/>
      <c r="B31" s="58"/>
      <c r="C31" s="85"/>
      <c r="D31" s="248">
        <v>2018</v>
      </c>
      <c r="E31" s="273">
        <f>SUM(F31:K31)</f>
        <v>1429</v>
      </c>
      <c r="F31" s="336">
        <v>34</v>
      </c>
      <c r="G31" s="336">
        <v>32</v>
      </c>
      <c r="H31" s="336">
        <v>288</v>
      </c>
      <c r="I31" s="336">
        <v>900</v>
      </c>
      <c r="J31" s="406" t="s">
        <v>51</v>
      </c>
      <c r="K31" s="336">
        <v>175</v>
      </c>
    </row>
    <row r="32" spans="1:11" s="53" customFormat="1" ht="8.1" customHeight="1" x14ac:dyDescent="0.25">
      <c r="A32" s="119"/>
      <c r="B32" s="58"/>
      <c r="C32" s="85"/>
      <c r="D32" s="248"/>
      <c r="E32" s="273"/>
      <c r="F32" s="313"/>
      <c r="G32" s="314"/>
      <c r="H32" s="314"/>
      <c r="I32" s="314"/>
      <c r="J32" s="314"/>
      <c r="K32" s="314"/>
    </row>
    <row r="33" spans="1:14" s="53" customFormat="1" ht="15" customHeight="1" x14ac:dyDescent="0.25">
      <c r="B33" s="58" t="s">
        <v>19</v>
      </c>
      <c r="C33" s="85"/>
      <c r="D33" s="248">
        <v>2016</v>
      </c>
      <c r="E33" s="273">
        <f t="shared" ref="E33:E34" si="7">SUM(F33:K33)</f>
        <v>209</v>
      </c>
      <c r="F33" s="313">
        <v>31</v>
      </c>
      <c r="G33" s="314">
        <v>2</v>
      </c>
      <c r="H33" s="314">
        <v>23</v>
      </c>
      <c r="I33" s="314">
        <v>89</v>
      </c>
      <c r="J33" s="315" t="s">
        <v>51</v>
      </c>
      <c r="K33" s="314">
        <v>64</v>
      </c>
    </row>
    <row r="34" spans="1:14" s="53" customFormat="1" ht="15" customHeight="1" x14ac:dyDescent="0.25">
      <c r="B34" s="58"/>
      <c r="C34" s="85"/>
      <c r="D34" s="248">
        <v>2017</v>
      </c>
      <c r="E34" s="273">
        <f t="shared" si="7"/>
        <v>210</v>
      </c>
      <c r="F34" s="313">
        <f>27+6</f>
        <v>33</v>
      </c>
      <c r="G34" s="314">
        <v>2</v>
      </c>
      <c r="H34" s="314">
        <v>36</v>
      </c>
      <c r="I34" s="314">
        <v>75</v>
      </c>
      <c r="J34" s="315" t="s">
        <v>51</v>
      </c>
      <c r="K34" s="314">
        <f>4+10+20+30</f>
        <v>64</v>
      </c>
    </row>
    <row r="35" spans="1:14" s="53" customFormat="1" ht="15" customHeight="1" x14ac:dyDescent="0.25">
      <c r="A35" s="119"/>
      <c r="B35" s="58"/>
      <c r="C35" s="85"/>
      <c r="D35" s="248">
        <v>2018</v>
      </c>
      <c r="E35" s="273">
        <f>SUM(F35:K35)</f>
        <v>162</v>
      </c>
      <c r="F35" s="336">
        <v>42</v>
      </c>
      <c r="G35" s="336">
        <v>2</v>
      </c>
      <c r="H35" s="336">
        <v>15</v>
      </c>
      <c r="I35" s="336">
        <v>36</v>
      </c>
      <c r="J35" s="406" t="s">
        <v>51</v>
      </c>
      <c r="K35" s="336">
        <v>67</v>
      </c>
    </row>
    <row r="36" spans="1:14" s="53" customFormat="1" ht="8.1" customHeight="1" x14ac:dyDescent="0.25">
      <c r="A36" s="119"/>
      <c r="B36" s="58"/>
      <c r="C36" s="85"/>
      <c r="D36" s="248"/>
      <c r="E36" s="273"/>
      <c r="F36" s="313"/>
      <c r="G36" s="314"/>
      <c r="H36" s="314"/>
      <c r="I36" s="314"/>
      <c r="J36" s="314"/>
      <c r="K36" s="314"/>
    </row>
    <row r="37" spans="1:14" s="53" customFormat="1" ht="15" customHeight="1" x14ac:dyDescent="0.25">
      <c r="B37" s="58" t="s">
        <v>13</v>
      </c>
      <c r="C37" s="85"/>
      <c r="D37" s="248">
        <v>2016</v>
      </c>
      <c r="E37" s="273">
        <f t="shared" ref="E37:E38" si="8">SUM(F37:K37)</f>
        <v>211</v>
      </c>
      <c r="F37" s="313">
        <v>35</v>
      </c>
      <c r="G37" s="314">
        <v>1</v>
      </c>
      <c r="H37" s="314">
        <v>27</v>
      </c>
      <c r="I37" s="314">
        <v>104</v>
      </c>
      <c r="J37" s="314">
        <v>12</v>
      </c>
      <c r="K37" s="314">
        <v>32</v>
      </c>
    </row>
    <row r="38" spans="1:14" s="53" customFormat="1" ht="15" customHeight="1" x14ac:dyDescent="0.25">
      <c r="B38" s="58"/>
      <c r="C38" s="85"/>
      <c r="D38" s="248">
        <v>2017</v>
      </c>
      <c r="E38" s="273">
        <f t="shared" si="8"/>
        <v>177</v>
      </c>
      <c r="F38" s="313">
        <f>30+5</f>
        <v>35</v>
      </c>
      <c r="G38" s="314">
        <v>2</v>
      </c>
      <c r="H38" s="314">
        <v>34</v>
      </c>
      <c r="I38" s="314">
        <v>71</v>
      </c>
      <c r="J38" s="315" t="s">
        <v>51</v>
      </c>
      <c r="K38" s="314">
        <f>3+1+7+1+23</f>
        <v>35</v>
      </c>
    </row>
    <row r="39" spans="1:14" s="118" customFormat="1" ht="15" customHeight="1" x14ac:dyDescent="0.25">
      <c r="A39" s="119"/>
      <c r="B39" s="58"/>
      <c r="C39" s="85"/>
      <c r="D39" s="248">
        <v>2018</v>
      </c>
      <c r="E39" s="273">
        <f>SUM(F39:K39)</f>
        <v>351</v>
      </c>
      <c r="F39" s="336">
        <v>234</v>
      </c>
      <c r="G39" s="405">
        <v>3</v>
      </c>
      <c r="H39" s="405">
        <v>36</v>
      </c>
      <c r="I39" s="405">
        <v>54</v>
      </c>
      <c r="J39" s="406" t="s">
        <v>51</v>
      </c>
      <c r="K39" s="405">
        <v>24</v>
      </c>
      <c r="L39" s="53"/>
      <c r="M39" s="53"/>
      <c r="N39" s="53"/>
    </row>
    <row r="40" spans="1:14" s="118" customFormat="1" ht="8.1" customHeight="1" x14ac:dyDescent="0.25">
      <c r="A40" s="119"/>
      <c r="B40" s="58"/>
      <c r="C40" s="85"/>
      <c r="D40" s="248"/>
      <c r="E40" s="273"/>
      <c r="F40" s="313"/>
      <c r="G40" s="314"/>
      <c r="H40" s="314"/>
      <c r="I40" s="314"/>
      <c r="J40" s="314"/>
      <c r="K40" s="314"/>
      <c r="L40" s="53"/>
      <c r="M40" s="53"/>
      <c r="N40" s="53"/>
    </row>
    <row r="41" spans="1:14" s="53" customFormat="1" ht="15" customHeight="1" x14ac:dyDescent="0.25">
      <c r="B41" s="58" t="s">
        <v>14</v>
      </c>
      <c r="C41" s="85"/>
      <c r="D41" s="248">
        <v>2016</v>
      </c>
      <c r="E41" s="273">
        <f t="shared" ref="E41:E42" si="9">SUM(F41:K41)</f>
        <v>446</v>
      </c>
      <c r="F41" s="313">
        <v>106</v>
      </c>
      <c r="G41" s="314">
        <v>3</v>
      </c>
      <c r="H41" s="314">
        <v>23</v>
      </c>
      <c r="I41" s="314">
        <v>158</v>
      </c>
      <c r="J41" s="314">
        <v>22</v>
      </c>
      <c r="K41" s="314">
        <v>134</v>
      </c>
    </row>
    <row r="42" spans="1:14" s="53" customFormat="1" ht="15" customHeight="1" x14ac:dyDescent="0.25">
      <c r="B42" s="58"/>
      <c r="C42" s="85"/>
      <c r="D42" s="248">
        <v>2017</v>
      </c>
      <c r="E42" s="273">
        <f t="shared" si="9"/>
        <v>426</v>
      </c>
      <c r="F42" s="313">
        <f>71+25</f>
        <v>96</v>
      </c>
      <c r="G42" s="314">
        <v>8</v>
      </c>
      <c r="H42" s="314">
        <v>50</v>
      </c>
      <c r="I42" s="314">
        <v>173</v>
      </c>
      <c r="J42" s="315" t="s">
        <v>51</v>
      </c>
      <c r="K42" s="314">
        <v>99</v>
      </c>
    </row>
    <row r="43" spans="1:14" s="53" customFormat="1" ht="15" customHeight="1" x14ac:dyDescent="0.25">
      <c r="A43" s="119"/>
      <c r="B43" s="58"/>
      <c r="C43" s="85"/>
      <c r="D43" s="248">
        <v>2018</v>
      </c>
      <c r="E43" s="273">
        <f>SUM(F43:K43)</f>
        <v>375</v>
      </c>
      <c r="F43" s="336">
        <v>112</v>
      </c>
      <c r="G43" s="336">
        <v>6</v>
      </c>
      <c r="H43" s="336">
        <v>37</v>
      </c>
      <c r="I43" s="336">
        <v>96</v>
      </c>
      <c r="J43" s="406" t="s">
        <v>51</v>
      </c>
      <c r="K43" s="336">
        <v>124</v>
      </c>
    </row>
    <row r="44" spans="1:14" s="53" customFormat="1" ht="8.1" customHeight="1" x14ac:dyDescent="0.25">
      <c r="A44" s="119"/>
      <c r="B44" s="58"/>
      <c r="C44" s="85"/>
      <c r="D44" s="248"/>
      <c r="E44" s="273"/>
      <c r="F44" s="313"/>
      <c r="G44" s="314"/>
      <c r="H44" s="314"/>
      <c r="I44" s="314"/>
      <c r="J44" s="314"/>
      <c r="K44" s="314"/>
    </row>
    <row r="45" spans="1:14" s="53" customFormat="1" ht="15" customHeight="1" x14ac:dyDescent="0.25">
      <c r="B45" s="58" t="s">
        <v>15</v>
      </c>
      <c r="C45" s="85"/>
      <c r="D45" s="248">
        <v>2016</v>
      </c>
      <c r="E45" s="273">
        <f t="shared" ref="E45:E46" si="10">SUM(F45:K45)</f>
        <v>340</v>
      </c>
      <c r="F45" s="317">
        <v>100</v>
      </c>
      <c r="G45" s="314">
        <v>4</v>
      </c>
      <c r="H45" s="314">
        <v>30</v>
      </c>
      <c r="I45" s="314">
        <v>138</v>
      </c>
      <c r="J45" s="314">
        <v>9</v>
      </c>
      <c r="K45" s="314">
        <v>59</v>
      </c>
    </row>
    <row r="46" spans="1:14" s="53" customFormat="1" ht="15" customHeight="1" x14ac:dyDescent="0.25">
      <c r="B46" s="58"/>
      <c r="C46" s="85"/>
      <c r="D46" s="248">
        <v>2017</v>
      </c>
      <c r="E46" s="273">
        <f t="shared" si="10"/>
        <v>337</v>
      </c>
      <c r="F46" s="313">
        <f>64+8</f>
        <v>72</v>
      </c>
      <c r="G46" s="314">
        <f>4+3</f>
        <v>7</v>
      </c>
      <c r="H46" s="314">
        <v>54</v>
      </c>
      <c r="I46" s="314">
        <v>150</v>
      </c>
      <c r="J46" s="315" t="s">
        <v>51</v>
      </c>
      <c r="K46" s="314">
        <f>4+3+12+1+34</f>
        <v>54</v>
      </c>
    </row>
    <row r="47" spans="1:14" s="53" customFormat="1" ht="15" customHeight="1" x14ac:dyDescent="0.25">
      <c r="A47" s="119"/>
      <c r="B47" s="58"/>
      <c r="C47" s="85"/>
      <c r="D47" s="248">
        <v>2018</v>
      </c>
      <c r="E47" s="273">
        <f>SUM(F47:K47)</f>
        <v>342</v>
      </c>
      <c r="F47" s="336">
        <v>102</v>
      </c>
      <c r="G47" s="336">
        <v>3</v>
      </c>
      <c r="H47" s="336">
        <v>21</v>
      </c>
      <c r="I47" s="336">
        <v>165</v>
      </c>
      <c r="J47" s="406" t="s">
        <v>51</v>
      </c>
      <c r="K47" s="336">
        <v>51</v>
      </c>
    </row>
    <row r="48" spans="1:14" s="53" customFormat="1" ht="8.1" customHeight="1" x14ac:dyDescent="0.25">
      <c r="A48" s="119"/>
      <c r="B48" s="58"/>
      <c r="C48" s="85"/>
      <c r="D48" s="248"/>
      <c r="E48" s="273"/>
      <c r="F48" s="313"/>
      <c r="G48" s="314"/>
      <c r="H48" s="314"/>
      <c r="I48" s="314"/>
      <c r="J48" s="314"/>
      <c r="K48" s="314"/>
    </row>
    <row r="49" spans="1:12" s="53" customFormat="1" ht="15" customHeight="1" x14ac:dyDescent="0.25">
      <c r="B49" s="58" t="s">
        <v>16</v>
      </c>
      <c r="C49" s="85"/>
      <c r="D49" s="248">
        <v>2016</v>
      </c>
      <c r="E49" s="273">
        <f t="shared" ref="E49:E50" si="11">SUM(F49:K49)</f>
        <v>236</v>
      </c>
      <c r="F49" s="313">
        <v>40</v>
      </c>
      <c r="G49" s="314">
        <v>5</v>
      </c>
      <c r="H49" s="314">
        <v>32</v>
      </c>
      <c r="I49" s="314">
        <v>130</v>
      </c>
      <c r="J49" s="314">
        <v>5</v>
      </c>
      <c r="K49" s="314">
        <v>24</v>
      </c>
    </row>
    <row r="50" spans="1:12" s="53" customFormat="1" ht="15" customHeight="1" x14ac:dyDescent="0.25">
      <c r="B50" s="58"/>
      <c r="C50" s="85"/>
      <c r="D50" s="248">
        <v>2017</v>
      </c>
      <c r="E50" s="273">
        <f t="shared" si="11"/>
        <v>209</v>
      </c>
      <c r="F50" s="313">
        <f>22+4</f>
        <v>26</v>
      </c>
      <c r="G50" s="314">
        <v>3</v>
      </c>
      <c r="H50" s="314">
        <v>40</v>
      </c>
      <c r="I50" s="314">
        <v>124</v>
      </c>
      <c r="J50" s="315" t="s">
        <v>51</v>
      </c>
      <c r="K50" s="314">
        <f>1+4+1+10</f>
        <v>16</v>
      </c>
    </row>
    <row r="51" spans="1:12" s="53" customFormat="1" ht="15" customHeight="1" x14ac:dyDescent="0.25">
      <c r="A51" s="119"/>
      <c r="B51" s="58"/>
      <c r="C51" s="85"/>
      <c r="D51" s="248">
        <v>2018</v>
      </c>
      <c r="E51" s="273">
        <f>SUM(F51:K51)</f>
        <v>165</v>
      </c>
      <c r="F51" s="336">
        <v>18</v>
      </c>
      <c r="G51" s="336">
        <v>3</v>
      </c>
      <c r="H51" s="336">
        <v>31</v>
      </c>
      <c r="I51" s="336">
        <v>85</v>
      </c>
      <c r="J51" s="406" t="s">
        <v>51</v>
      </c>
      <c r="K51" s="336">
        <v>28</v>
      </c>
    </row>
    <row r="52" spans="1:12" s="53" customFormat="1" ht="8.1" customHeight="1" x14ac:dyDescent="0.25">
      <c r="A52" s="119"/>
      <c r="B52" s="58"/>
      <c r="C52" s="85"/>
      <c r="D52" s="248"/>
      <c r="E52" s="273"/>
      <c r="F52" s="313"/>
      <c r="G52" s="314"/>
      <c r="H52" s="314"/>
      <c r="I52" s="314"/>
      <c r="J52" s="314"/>
      <c r="K52" s="314"/>
    </row>
    <row r="53" spans="1:12" s="119" customFormat="1" ht="15" customHeight="1" x14ac:dyDescent="0.25">
      <c r="A53" s="53"/>
      <c r="B53" s="58" t="s">
        <v>17</v>
      </c>
      <c r="C53" s="85"/>
      <c r="D53" s="248">
        <v>2016</v>
      </c>
      <c r="E53" s="273">
        <f t="shared" ref="E53:E54" si="12">SUM(F53:K53)</f>
        <v>309</v>
      </c>
      <c r="F53" s="313">
        <v>45</v>
      </c>
      <c r="G53" s="314">
        <v>3</v>
      </c>
      <c r="H53" s="314">
        <v>28</v>
      </c>
      <c r="I53" s="314">
        <v>186</v>
      </c>
      <c r="J53" s="314">
        <v>3</v>
      </c>
      <c r="K53" s="314">
        <v>44</v>
      </c>
    </row>
    <row r="54" spans="1:12" s="119" customFormat="1" ht="15" customHeight="1" x14ac:dyDescent="0.25">
      <c r="A54" s="53"/>
      <c r="B54" s="58"/>
      <c r="C54" s="85"/>
      <c r="D54" s="248">
        <v>2017</v>
      </c>
      <c r="E54" s="273">
        <f t="shared" si="12"/>
        <v>289</v>
      </c>
      <c r="F54" s="313">
        <f>31+12</f>
        <v>43</v>
      </c>
      <c r="G54" s="316">
        <v>3</v>
      </c>
      <c r="H54" s="316">
        <v>26</v>
      </c>
      <c r="I54" s="314">
        <v>153</v>
      </c>
      <c r="J54" s="318" t="s">
        <v>51</v>
      </c>
      <c r="K54" s="316">
        <v>64</v>
      </c>
    </row>
    <row r="55" spans="1:12" s="119" customFormat="1" ht="15" customHeight="1" x14ac:dyDescent="0.25">
      <c r="B55" s="58"/>
      <c r="C55" s="85"/>
      <c r="D55" s="248">
        <v>2018</v>
      </c>
      <c r="E55" s="273">
        <f>SUM(F55:K55)</f>
        <v>269</v>
      </c>
      <c r="F55" s="313">
        <v>82</v>
      </c>
      <c r="G55" s="313">
        <v>2</v>
      </c>
      <c r="H55" s="313">
        <v>22</v>
      </c>
      <c r="I55" s="313">
        <v>108</v>
      </c>
      <c r="J55" s="409" t="s">
        <v>51</v>
      </c>
      <c r="K55" s="313">
        <v>55</v>
      </c>
    </row>
    <row r="56" spans="1:12" s="119" customFormat="1" ht="8.1" customHeight="1" thickBot="1" x14ac:dyDescent="0.25">
      <c r="A56" s="219"/>
      <c r="B56" s="60"/>
      <c r="C56" s="274"/>
      <c r="D56" s="275"/>
      <c r="E56" s="276"/>
      <c r="F56" s="277"/>
      <c r="G56" s="278"/>
      <c r="H56" s="278"/>
      <c r="I56" s="276"/>
      <c r="J56" s="279"/>
      <c r="K56" s="278"/>
      <c r="L56" s="219"/>
    </row>
    <row r="57" spans="1:12" x14ac:dyDescent="0.25">
      <c r="B57" s="266"/>
      <c r="C57" s="266"/>
      <c r="D57" s="266"/>
      <c r="E57" s="206"/>
      <c r="F57" s="395"/>
      <c r="G57" s="398"/>
      <c r="H57" s="398"/>
      <c r="I57" s="396"/>
      <c r="J57" s="397"/>
      <c r="K57" s="175" t="s">
        <v>101</v>
      </c>
    </row>
    <row r="58" spans="1:12" x14ac:dyDescent="0.25">
      <c r="B58" s="7"/>
      <c r="C58" s="7"/>
      <c r="D58" s="7"/>
      <c r="E58" s="269"/>
      <c r="F58" s="267"/>
      <c r="G58" s="266"/>
      <c r="H58" s="266"/>
      <c r="I58" s="267"/>
      <c r="J58" s="207"/>
      <c r="K58" s="41" t="s">
        <v>1</v>
      </c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7"/>
  <sheetViews>
    <sheetView showGridLines="0" tabSelected="1" topLeftCell="A16" zoomScaleNormal="100" zoomScaleSheetLayoutView="100" workbookViewId="0">
      <selection activeCell="J23" sqref="J23"/>
    </sheetView>
  </sheetViews>
  <sheetFormatPr defaultRowHeight="15" x14ac:dyDescent="0.25"/>
  <cols>
    <col min="1" max="1" width="0.85546875" style="2" customWidth="1"/>
    <col min="2" max="2" width="9.85546875" style="3" customWidth="1"/>
    <col min="3" max="3" width="8.42578125" style="3" customWidth="1"/>
    <col min="4" max="4" width="10.42578125" style="3" customWidth="1"/>
    <col min="5" max="5" width="11.7109375" style="4" customWidth="1"/>
    <col min="6" max="6" width="11.7109375" style="5" customWidth="1"/>
    <col min="7" max="7" width="10.5703125" style="5" customWidth="1"/>
    <col min="8" max="8" width="10.5703125" style="209" customWidth="1"/>
    <col min="9" max="9" width="11.28515625" style="5" customWidth="1"/>
    <col min="10" max="10" width="11" style="2" customWidth="1"/>
    <col min="11" max="11" width="10.42578125" style="2" customWidth="1"/>
    <col min="12" max="12" width="1.42578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105" customFormat="1" ht="8.1" customHeight="1" x14ac:dyDescent="0.2">
      <c r="A12" s="280"/>
      <c r="B12" s="263"/>
      <c r="C12" s="263"/>
      <c r="D12" s="170"/>
      <c r="E12" s="93"/>
      <c r="F12" s="243"/>
      <c r="G12" s="93"/>
      <c r="H12" s="93"/>
      <c r="I12" s="93"/>
      <c r="J12" s="243"/>
      <c r="K12" s="93"/>
      <c r="L12" s="109"/>
    </row>
    <row r="13" spans="1:12" s="109" customFormat="1" ht="14.1" customHeight="1" x14ac:dyDescent="0.2">
      <c r="B13" s="64" t="s">
        <v>189</v>
      </c>
      <c r="C13" s="127"/>
      <c r="D13" s="65">
        <v>2016</v>
      </c>
      <c r="E13" s="166">
        <f>SUM(F13:K13)</f>
        <v>2510</v>
      </c>
      <c r="F13" s="166">
        <f>SUM(F17,F21,F25)</f>
        <v>544</v>
      </c>
      <c r="G13" s="166">
        <f t="shared" ref="G13:K13" si="0">SUM(G17,G21,G25)</f>
        <v>25</v>
      </c>
      <c r="H13" s="166">
        <f t="shared" si="0"/>
        <v>170</v>
      </c>
      <c r="I13" s="166">
        <f t="shared" si="0"/>
        <v>1246</v>
      </c>
      <c r="J13" s="166">
        <f t="shared" si="0"/>
        <v>6</v>
      </c>
      <c r="K13" s="166">
        <f t="shared" si="0"/>
        <v>519</v>
      </c>
    </row>
    <row r="14" spans="1:12" s="109" customFormat="1" ht="14.1" customHeight="1" x14ac:dyDescent="0.2">
      <c r="B14" s="127"/>
      <c r="C14" s="127"/>
      <c r="D14" s="65">
        <v>2017</v>
      </c>
      <c r="E14" s="166">
        <f t="shared" ref="E14:E15" si="1">SUM(F14:K14)</f>
        <v>2255</v>
      </c>
      <c r="F14" s="166">
        <f t="shared" ref="F14:K15" si="2">SUM(F18,F22,F26)</f>
        <v>567</v>
      </c>
      <c r="G14" s="166">
        <f t="shared" si="2"/>
        <v>27</v>
      </c>
      <c r="H14" s="166">
        <f t="shared" si="2"/>
        <v>112</v>
      </c>
      <c r="I14" s="166">
        <f t="shared" si="2"/>
        <v>1101</v>
      </c>
      <c r="J14" s="166">
        <f t="shared" si="2"/>
        <v>2</v>
      </c>
      <c r="K14" s="166">
        <f t="shared" si="2"/>
        <v>446</v>
      </c>
    </row>
    <row r="15" spans="1:12" s="109" customFormat="1" ht="14.1" customHeight="1" x14ac:dyDescent="0.2">
      <c r="B15" s="127"/>
      <c r="C15" s="127"/>
      <c r="D15" s="65">
        <v>2018</v>
      </c>
      <c r="E15" s="166">
        <f t="shared" si="1"/>
        <v>2179</v>
      </c>
      <c r="F15" s="166">
        <f t="shared" si="2"/>
        <v>591</v>
      </c>
      <c r="G15" s="166">
        <f t="shared" si="2"/>
        <v>20</v>
      </c>
      <c r="H15" s="166">
        <f t="shared" si="2"/>
        <v>104</v>
      </c>
      <c r="I15" s="166">
        <f t="shared" si="2"/>
        <v>1030</v>
      </c>
      <c r="J15" s="143" t="s">
        <v>51</v>
      </c>
      <c r="K15" s="166">
        <f t="shared" si="2"/>
        <v>434</v>
      </c>
    </row>
    <row r="16" spans="1:12" s="119" customFormat="1" ht="8.1" customHeight="1" x14ac:dyDescent="0.2">
      <c r="B16" s="127"/>
      <c r="C16" s="127"/>
      <c r="D16" s="65"/>
      <c r="E16" s="166"/>
      <c r="F16" s="166"/>
      <c r="G16" s="166"/>
      <c r="H16" s="166"/>
      <c r="I16" s="166"/>
      <c r="J16" s="166"/>
      <c r="K16" s="166"/>
    </row>
    <row r="17" spans="1:11" s="119" customFormat="1" ht="14.1" customHeight="1" x14ac:dyDescent="0.2">
      <c r="A17" s="53"/>
      <c r="B17" s="58" t="s">
        <v>21</v>
      </c>
      <c r="C17" s="85"/>
      <c r="D17" s="162">
        <v>2016</v>
      </c>
      <c r="E17" s="167">
        <f t="shared" ref="E17:E19" si="3">SUM(F17:K17)</f>
        <v>321</v>
      </c>
      <c r="F17" s="303">
        <v>44</v>
      </c>
      <c r="G17" s="303">
        <v>7</v>
      </c>
      <c r="H17" s="303">
        <v>12</v>
      </c>
      <c r="I17" s="303">
        <v>192</v>
      </c>
      <c r="J17" s="303">
        <v>1</v>
      </c>
      <c r="K17" s="303">
        <v>65</v>
      </c>
    </row>
    <row r="18" spans="1:11" s="119" customFormat="1" ht="14.1" customHeight="1" x14ac:dyDescent="0.2">
      <c r="A18" s="53"/>
      <c r="B18" s="58"/>
      <c r="C18" s="85"/>
      <c r="D18" s="162">
        <v>2017</v>
      </c>
      <c r="E18" s="167">
        <f t="shared" si="3"/>
        <v>296</v>
      </c>
      <c r="F18" s="303">
        <f>49+26</f>
        <v>75</v>
      </c>
      <c r="G18" s="303">
        <v>8</v>
      </c>
      <c r="H18" s="303">
        <v>12</v>
      </c>
      <c r="I18" s="303">
        <v>162</v>
      </c>
      <c r="J18" s="320" t="s">
        <v>51</v>
      </c>
      <c r="K18" s="303">
        <f>5+4+18+12</f>
        <v>39</v>
      </c>
    </row>
    <row r="19" spans="1:11" s="119" customFormat="1" ht="14.1" customHeight="1" x14ac:dyDescent="0.2">
      <c r="B19" s="281"/>
      <c r="C19" s="58"/>
      <c r="D19" s="162">
        <v>2018</v>
      </c>
      <c r="E19" s="167">
        <f t="shared" si="3"/>
        <v>267</v>
      </c>
      <c r="F19" s="303">
        <f>68</f>
        <v>68</v>
      </c>
      <c r="G19" s="303">
        <f>3</f>
        <v>3</v>
      </c>
      <c r="H19" s="303">
        <f>12</f>
        <v>12</v>
      </c>
      <c r="I19" s="303">
        <f>148</f>
        <v>148</v>
      </c>
      <c r="J19" s="320" t="s">
        <v>51</v>
      </c>
      <c r="K19" s="303">
        <f>36</f>
        <v>36</v>
      </c>
    </row>
    <row r="20" spans="1:11" s="119" customFormat="1" ht="8.1" customHeight="1" x14ac:dyDescent="0.2">
      <c r="B20" s="281"/>
      <c r="C20" s="58"/>
      <c r="D20" s="162"/>
      <c r="E20" s="167"/>
      <c r="F20" s="303"/>
      <c r="G20" s="303"/>
      <c r="H20" s="303"/>
      <c r="I20" s="303"/>
      <c r="J20" s="303"/>
      <c r="K20" s="303"/>
    </row>
    <row r="21" spans="1:11" s="119" customFormat="1" ht="14.1" customHeight="1" x14ac:dyDescent="0.2">
      <c r="A21" s="53"/>
      <c r="B21" s="58" t="s">
        <v>22</v>
      </c>
      <c r="C21" s="85"/>
      <c r="D21" s="162">
        <v>2016</v>
      </c>
      <c r="E21" s="167">
        <f t="shared" ref="E21:E23" si="4">SUM(F21:K21)</f>
        <v>198</v>
      </c>
      <c r="F21" s="303">
        <v>52</v>
      </c>
      <c r="G21" s="303">
        <v>4</v>
      </c>
      <c r="H21" s="303">
        <v>9</v>
      </c>
      <c r="I21" s="303">
        <v>84</v>
      </c>
      <c r="J21" s="303">
        <v>2</v>
      </c>
      <c r="K21" s="303">
        <v>47</v>
      </c>
    </row>
    <row r="22" spans="1:11" s="119" customFormat="1" ht="14.1" customHeight="1" x14ac:dyDescent="0.2">
      <c r="A22" s="53"/>
      <c r="B22" s="58"/>
      <c r="C22" s="85"/>
      <c r="D22" s="162">
        <v>2017</v>
      </c>
      <c r="E22" s="167">
        <f t="shared" si="4"/>
        <v>191</v>
      </c>
      <c r="F22" s="320">
        <f>44+9</f>
        <v>53</v>
      </c>
      <c r="G22" s="320">
        <v>3</v>
      </c>
      <c r="H22" s="303">
        <v>3</v>
      </c>
      <c r="I22" s="320">
        <v>71</v>
      </c>
      <c r="J22" s="320" t="s">
        <v>51</v>
      </c>
      <c r="K22" s="303">
        <f>9+5+21+3+23</f>
        <v>61</v>
      </c>
    </row>
    <row r="23" spans="1:11" s="119" customFormat="1" ht="14.1" customHeight="1" x14ac:dyDescent="0.2">
      <c r="B23" s="281"/>
      <c r="C23" s="58"/>
      <c r="D23" s="162">
        <v>2018</v>
      </c>
      <c r="E23" s="167">
        <f t="shared" si="4"/>
        <v>191</v>
      </c>
      <c r="F23" s="303">
        <f>60</f>
        <v>60</v>
      </c>
      <c r="G23" s="303">
        <f>3</f>
        <v>3</v>
      </c>
      <c r="H23" s="303">
        <f>5</f>
        <v>5</v>
      </c>
      <c r="I23" s="303">
        <f>64</f>
        <v>64</v>
      </c>
      <c r="J23" s="320" t="s">
        <v>51</v>
      </c>
      <c r="K23" s="303">
        <f>59</f>
        <v>59</v>
      </c>
    </row>
    <row r="24" spans="1:11" s="119" customFormat="1" ht="8.1" customHeight="1" x14ac:dyDescent="0.2">
      <c r="B24" s="281"/>
      <c r="C24" s="58"/>
      <c r="D24" s="162"/>
      <c r="E24" s="167"/>
      <c r="F24" s="320"/>
      <c r="G24" s="320"/>
      <c r="H24" s="303"/>
      <c r="I24" s="320"/>
      <c r="J24" s="303"/>
      <c r="K24" s="303"/>
    </row>
    <row r="25" spans="1:11" s="119" customFormat="1" ht="14.1" customHeight="1" x14ac:dyDescent="0.2">
      <c r="A25" s="53"/>
      <c r="B25" s="58" t="s">
        <v>23</v>
      </c>
      <c r="C25" s="85"/>
      <c r="D25" s="162">
        <v>2016</v>
      </c>
      <c r="E25" s="167">
        <f t="shared" ref="E25:E27" si="5">SUM(F25:K25)</f>
        <v>1991</v>
      </c>
      <c r="F25" s="303">
        <v>448</v>
      </c>
      <c r="G25" s="303">
        <v>14</v>
      </c>
      <c r="H25" s="303">
        <v>149</v>
      </c>
      <c r="I25" s="303">
        <v>970</v>
      </c>
      <c r="J25" s="303">
        <v>3</v>
      </c>
      <c r="K25" s="303">
        <v>407</v>
      </c>
    </row>
    <row r="26" spans="1:11" s="119" customFormat="1" ht="14.1" customHeight="1" x14ac:dyDescent="0.2">
      <c r="A26" s="53"/>
      <c r="B26" s="58"/>
      <c r="C26" s="85"/>
      <c r="D26" s="162">
        <v>2017</v>
      </c>
      <c r="E26" s="167">
        <f t="shared" si="5"/>
        <v>1768</v>
      </c>
      <c r="F26" s="303">
        <f>354+85</f>
        <v>439</v>
      </c>
      <c r="G26" s="303">
        <f>1+3+12</f>
        <v>16</v>
      </c>
      <c r="H26" s="303">
        <v>97</v>
      </c>
      <c r="I26" s="303">
        <v>868</v>
      </c>
      <c r="J26" s="303">
        <v>2</v>
      </c>
      <c r="K26" s="303">
        <f>3+59+33+146+5+99+1</f>
        <v>346</v>
      </c>
    </row>
    <row r="27" spans="1:11" s="119" customFormat="1" ht="14.1" customHeight="1" x14ac:dyDescent="0.2">
      <c r="B27" s="281"/>
      <c r="C27" s="58"/>
      <c r="D27" s="162">
        <v>2018</v>
      </c>
      <c r="E27" s="167">
        <f t="shared" si="5"/>
        <v>1721</v>
      </c>
      <c r="F27" s="304">
        <f>463</f>
        <v>463</v>
      </c>
      <c r="G27" s="304">
        <f>14</f>
        <v>14</v>
      </c>
      <c r="H27" s="304">
        <f>87</f>
        <v>87</v>
      </c>
      <c r="I27" s="304">
        <f>818</f>
        <v>818</v>
      </c>
      <c r="J27" s="321" t="s">
        <v>51</v>
      </c>
      <c r="K27" s="304">
        <f>339</f>
        <v>339</v>
      </c>
    </row>
    <row r="28" spans="1:11" s="119" customFormat="1" ht="8.1" customHeight="1" thickBot="1" x14ac:dyDescent="0.25">
      <c r="A28" s="219"/>
      <c r="B28" s="282"/>
      <c r="C28" s="60"/>
      <c r="D28" s="141"/>
      <c r="E28" s="61"/>
      <c r="F28" s="61"/>
      <c r="G28" s="61"/>
      <c r="H28" s="61"/>
      <c r="I28" s="61"/>
      <c r="J28" s="61"/>
      <c r="K28" s="61"/>
    </row>
    <row r="29" spans="1:11" s="119" customFormat="1" ht="8.1" customHeight="1" x14ac:dyDescent="0.2">
      <c r="B29" s="281"/>
      <c r="C29" s="58"/>
      <c r="D29" s="65"/>
      <c r="E29" s="167"/>
      <c r="F29" s="167"/>
      <c r="G29" s="167"/>
      <c r="H29" s="167"/>
      <c r="I29" s="167"/>
      <c r="J29" s="167"/>
      <c r="K29" s="167"/>
    </row>
    <row r="30" spans="1:11" s="105" customFormat="1" ht="14.1" customHeight="1" x14ac:dyDescent="0.2">
      <c r="A30" s="109"/>
      <c r="B30" s="64" t="s">
        <v>31</v>
      </c>
      <c r="C30" s="64"/>
      <c r="D30" s="65">
        <v>2016</v>
      </c>
      <c r="E30" s="166">
        <f t="shared" ref="E30:E32" si="6">SUM(F30:K30)</f>
        <v>3390</v>
      </c>
      <c r="F30" s="166">
        <f>SUM(F34,F38,F42,F46,F50,F54,F58,F62)</f>
        <v>1023</v>
      </c>
      <c r="G30" s="166">
        <f t="shared" ref="G30:K30" si="7">SUM(G34,G38,G42,G46,G50,G54,G58,G62)</f>
        <v>116</v>
      </c>
      <c r="H30" s="166">
        <f t="shared" si="7"/>
        <v>177</v>
      </c>
      <c r="I30" s="166">
        <f t="shared" si="7"/>
        <v>1053</v>
      </c>
      <c r="J30" s="166">
        <f t="shared" si="7"/>
        <v>6</v>
      </c>
      <c r="K30" s="166">
        <f t="shared" si="7"/>
        <v>1015</v>
      </c>
    </row>
    <row r="31" spans="1:11" s="105" customFormat="1" ht="14.1" customHeight="1" x14ac:dyDescent="0.2">
      <c r="A31" s="109"/>
      <c r="B31" s="127"/>
      <c r="C31" s="64"/>
      <c r="D31" s="65">
        <v>2017</v>
      </c>
      <c r="E31" s="166">
        <f t="shared" si="6"/>
        <v>3089</v>
      </c>
      <c r="F31" s="166">
        <f t="shared" ref="F31:K32" si="8">SUM(F35,F39,F43,F47,F51,F55,F59,F63)</f>
        <v>895</v>
      </c>
      <c r="G31" s="166">
        <f t="shared" si="8"/>
        <v>64</v>
      </c>
      <c r="H31" s="166">
        <f t="shared" si="8"/>
        <v>170</v>
      </c>
      <c r="I31" s="166">
        <f t="shared" si="8"/>
        <v>839</v>
      </c>
      <c r="J31" s="166">
        <f t="shared" si="8"/>
        <v>0</v>
      </c>
      <c r="K31" s="166">
        <f t="shared" si="8"/>
        <v>1121</v>
      </c>
    </row>
    <row r="32" spans="1:11" s="105" customFormat="1" ht="14.1" customHeight="1" x14ac:dyDescent="0.2">
      <c r="A32" s="109"/>
      <c r="B32" s="127"/>
      <c r="C32" s="64"/>
      <c r="D32" s="65">
        <v>2018</v>
      </c>
      <c r="E32" s="166">
        <f t="shared" si="6"/>
        <v>2842</v>
      </c>
      <c r="F32" s="166">
        <f t="shared" si="8"/>
        <v>873</v>
      </c>
      <c r="G32" s="166">
        <f t="shared" si="8"/>
        <v>60</v>
      </c>
      <c r="H32" s="166">
        <f t="shared" si="8"/>
        <v>151</v>
      </c>
      <c r="I32" s="166">
        <f t="shared" si="8"/>
        <v>711</v>
      </c>
      <c r="J32" s="166">
        <f t="shared" si="8"/>
        <v>1</v>
      </c>
      <c r="K32" s="166">
        <f t="shared" si="8"/>
        <v>1046</v>
      </c>
    </row>
    <row r="33" spans="1:11" s="53" customFormat="1" ht="8.1" customHeight="1" x14ac:dyDescent="0.2">
      <c r="A33" s="119"/>
      <c r="B33" s="127"/>
      <c r="C33" s="64"/>
      <c r="D33" s="65"/>
      <c r="E33" s="166"/>
      <c r="F33" s="166"/>
      <c r="G33" s="166"/>
      <c r="H33" s="166"/>
      <c r="I33" s="166"/>
      <c r="J33" s="143"/>
      <c r="K33" s="166"/>
    </row>
    <row r="34" spans="1:11" s="53" customFormat="1" ht="14.1" customHeight="1" x14ac:dyDescent="0.2">
      <c r="B34" s="58" t="s">
        <v>24</v>
      </c>
      <c r="C34" s="85"/>
      <c r="D34" s="162">
        <v>2016</v>
      </c>
      <c r="E34" s="167">
        <f t="shared" ref="E34:E36" si="9">SUM(F34:K34)</f>
        <v>67</v>
      </c>
      <c r="F34" s="303">
        <v>13</v>
      </c>
      <c r="G34" s="303">
        <v>1</v>
      </c>
      <c r="H34" s="320" t="s">
        <v>51</v>
      </c>
      <c r="I34" s="303">
        <v>29</v>
      </c>
      <c r="J34" s="320" t="s">
        <v>51</v>
      </c>
      <c r="K34" s="303">
        <v>24</v>
      </c>
    </row>
    <row r="35" spans="1:11" s="53" customFormat="1" ht="14.1" customHeight="1" x14ac:dyDescent="0.2">
      <c r="B35" s="58"/>
      <c r="C35" s="85"/>
      <c r="D35" s="162">
        <v>2017</v>
      </c>
      <c r="E35" s="167">
        <f t="shared" si="9"/>
        <v>56</v>
      </c>
      <c r="F35" s="303">
        <f>11+6</f>
        <v>17</v>
      </c>
      <c r="G35" s="303">
        <v>1</v>
      </c>
      <c r="H35" s="320" t="s">
        <v>51</v>
      </c>
      <c r="I35" s="303">
        <v>20</v>
      </c>
      <c r="J35" s="320" t="s">
        <v>51</v>
      </c>
      <c r="K35" s="303">
        <f>3+7+8</f>
        <v>18</v>
      </c>
    </row>
    <row r="36" spans="1:11" s="53" customFormat="1" ht="14.1" customHeight="1" x14ac:dyDescent="0.2">
      <c r="A36" s="119"/>
      <c r="B36" s="281"/>
      <c r="C36" s="58"/>
      <c r="D36" s="162">
        <v>2018</v>
      </c>
      <c r="E36" s="167">
        <f t="shared" si="9"/>
        <v>58</v>
      </c>
      <c r="F36" s="405">
        <v>12</v>
      </c>
      <c r="G36" s="406" t="s">
        <v>51</v>
      </c>
      <c r="H36" s="406" t="s">
        <v>51</v>
      </c>
      <c r="I36" s="405">
        <v>24</v>
      </c>
      <c r="J36" s="406" t="s">
        <v>51</v>
      </c>
      <c r="K36" s="405">
        <v>22</v>
      </c>
    </row>
    <row r="37" spans="1:11" s="53" customFormat="1" ht="8.1" customHeight="1" x14ac:dyDescent="0.2">
      <c r="A37" s="119"/>
      <c r="B37" s="281"/>
      <c r="C37" s="58"/>
      <c r="D37" s="162"/>
      <c r="E37" s="167"/>
      <c r="F37" s="303"/>
      <c r="G37" s="303"/>
      <c r="H37" s="303"/>
      <c r="I37" s="303"/>
      <c r="J37" s="303"/>
      <c r="K37" s="303"/>
    </row>
    <row r="38" spans="1:11" s="53" customFormat="1" ht="14.1" customHeight="1" x14ac:dyDescent="0.2">
      <c r="B38" s="58" t="s">
        <v>30</v>
      </c>
      <c r="C38" s="85"/>
      <c r="D38" s="162">
        <v>2016</v>
      </c>
      <c r="E38" s="167">
        <f t="shared" ref="E38:E40" si="10">SUM(F38:K38)</f>
        <v>211</v>
      </c>
      <c r="F38" s="303">
        <v>62</v>
      </c>
      <c r="G38" s="303">
        <v>6</v>
      </c>
      <c r="H38" s="303">
        <v>5</v>
      </c>
      <c r="I38" s="303">
        <v>94</v>
      </c>
      <c r="J38" s="303">
        <v>1</v>
      </c>
      <c r="K38" s="303">
        <v>43</v>
      </c>
    </row>
    <row r="39" spans="1:11" s="53" customFormat="1" ht="14.1" customHeight="1" x14ac:dyDescent="0.2">
      <c r="B39" s="58"/>
      <c r="C39" s="85"/>
      <c r="D39" s="162">
        <v>2017</v>
      </c>
      <c r="E39" s="167">
        <f t="shared" si="10"/>
        <v>176</v>
      </c>
      <c r="F39" s="320">
        <f>50+13</f>
        <v>63</v>
      </c>
      <c r="G39" s="320">
        <v>3</v>
      </c>
      <c r="H39" s="303">
        <v>6</v>
      </c>
      <c r="I39" s="320">
        <v>54</v>
      </c>
      <c r="J39" s="320" t="s">
        <v>51</v>
      </c>
      <c r="K39" s="303">
        <f>2+4+18+26</f>
        <v>50</v>
      </c>
    </row>
    <row r="40" spans="1:11" s="53" customFormat="1" ht="14.1" customHeight="1" x14ac:dyDescent="0.25">
      <c r="A40" s="119"/>
      <c r="B40" s="281"/>
      <c r="C40" s="58"/>
      <c r="D40" s="162">
        <v>2018</v>
      </c>
      <c r="E40" s="167">
        <f t="shared" si="10"/>
        <v>189</v>
      </c>
      <c r="F40" s="336">
        <v>57</v>
      </c>
      <c r="G40" s="336">
        <v>3</v>
      </c>
      <c r="H40" s="336">
        <v>7</v>
      </c>
      <c r="I40" s="336">
        <v>68</v>
      </c>
      <c r="J40" s="407" t="s">
        <v>51</v>
      </c>
      <c r="K40" s="336">
        <v>54</v>
      </c>
    </row>
    <row r="41" spans="1:11" s="53" customFormat="1" ht="8.1" customHeight="1" x14ac:dyDescent="0.2">
      <c r="A41" s="119"/>
      <c r="B41" s="281"/>
      <c r="C41" s="58"/>
      <c r="D41" s="162"/>
      <c r="E41" s="167"/>
      <c r="F41" s="320"/>
      <c r="G41" s="320"/>
      <c r="H41" s="303"/>
      <c r="I41" s="320"/>
      <c r="J41" s="303"/>
      <c r="K41" s="303"/>
    </row>
    <row r="42" spans="1:11" s="53" customFormat="1" ht="14.1" customHeight="1" x14ac:dyDescent="0.2">
      <c r="B42" s="58" t="s">
        <v>25</v>
      </c>
      <c r="C42" s="85"/>
      <c r="D42" s="162">
        <v>2016</v>
      </c>
      <c r="E42" s="167">
        <f t="shared" ref="E42:E44" si="11">SUM(F42:K42)</f>
        <v>224</v>
      </c>
      <c r="F42" s="303">
        <v>70</v>
      </c>
      <c r="G42" s="303">
        <v>1</v>
      </c>
      <c r="H42" s="303">
        <v>4</v>
      </c>
      <c r="I42" s="303">
        <v>39</v>
      </c>
      <c r="J42" s="303">
        <v>1</v>
      </c>
      <c r="K42" s="303">
        <v>109</v>
      </c>
    </row>
    <row r="43" spans="1:11" s="53" customFormat="1" ht="14.1" customHeight="1" x14ac:dyDescent="0.2">
      <c r="B43" s="58"/>
      <c r="C43" s="85"/>
      <c r="D43" s="162">
        <v>2017</v>
      </c>
      <c r="E43" s="167">
        <f t="shared" si="11"/>
        <v>198</v>
      </c>
      <c r="F43" s="303">
        <f>44+8</f>
        <v>52</v>
      </c>
      <c r="G43" s="303">
        <v>1</v>
      </c>
      <c r="H43" s="303">
        <v>4</v>
      </c>
      <c r="I43" s="303">
        <v>37</v>
      </c>
      <c r="J43" s="320" t="s">
        <v>51</v>
      </c>
      <c r="K43" s="303">
        <f>11+18+38+10+27</f>
        <v>104</v>
      </c>
    </row>
    <row r="44" spans="1:11" s="53" customFormat="1" ht="14.1" customHeight="1" x14ac:dyDescent="0.2">
      <c r="A44" s="119"/>
      <c r="B44" s="281"/>
      <c r="C44" s="58"/>
      <c r="D44" s="162">
        <v>2018</v>
      </c>
      <c r="E44" s="167">
        <f t="shared" si="11"/>
        <v>161</v>
      </c>
      <c r="F44" s="404">
        <v>37</v>
      </c>
      <c r="G44" s="404">
        <v>1</v>
      </c>
      <c r="H44" s="404">
        <v>4</v>
      </c>
      <c r="I44" s="404">
        <v>27</v>
      </c>
      <c r="J44" s="404" t="s">
        <v>51</v>
      </c>
      <c r="K44" s="305">
        <v>92</v>
      </c>
    </row>
    <row r="45" spans="1:11" s="53" customFormat="1" ht="8.1" customHeight="1" x14ac:dyDescent="0.25">
      <c r="A45" s="119"/>
      <c r="B45" s="281"/>
      <c r="C45" s="58"/>
      <c r="D45" s="162"/>
      <c r="E45" s="167"/>
      <c r="F45" s="313"/>
      <c r="G45" s="313"/>
      <c r="H45" s="313"/>
      <c r="I45" s="313"/>
      <c r="J45" s="313"/>
      <c r="K45" s="313"/>
    </row>
    <row r="46" spans="1:11" s="53" customFormat="1" ht="14.1" customHeight="1" x14ac:dyDescent="0.25">
      <c r="B46" s="58" t="s">
        <v>68</v>
      </c>
      <c r="C46" s="85"/>
      <c r="D46" s="162">
        <v>2016</v>
      </c>
      <c r="E46" s="167">
        <f t="shared" ref="E46:E48" si="12">SUM(F46:K46)</f>
        <v>885</v>
      </c>
      <c r="F46" s="313">
        <v>351</v>
      </c>
      <c r="G46" s="313">
        <v>17</v>
      </c>
      <c r="H46" s="313">
        <v>31</v>
      </c>
      <c r="I46" s="313">
        <v>173</v>
      </c>
      <c r="J46" s="317" t="s">
        <v>51</v>
      </c>
      <c r="K46" s="313">
        <v>313</v>
      </c>
    </row>
    <row r="47" spans="1:11" s="53" customFormat="1" ht="14.1" customHeight="1" x14ac:dyDescent="0.25">
      <c r="B47" s="58"/>
      <c r="C47" s="85"/>
      <c r="D47" s="162">
        <v>2017</v>
      </c>
      <c r="E47" s="167">
        <f t="shared" si="12"/>
        <v>893</v>
      </c>
      <c r="F47" s="313">
        <f>204+76</f>
        <v>280</v>
      </c>
      <c r="G47" s="313">
        <f>1+4+11</f>
        <v>16</v>
      </c>
      <c r="H47" s="313">
        <v>31</v>
      </c>
      <c r="I47" s="313">
        <v>203</v>
      </c>
      <c r="J47" s="317" t="s">
        <v>51</v>
      </c>
      <c r="K47" s="313">
        <f>1+28+85+128+1+120</f>
        <v>363</v>
      </c>
    </row>
    <row r="48" spans="1:11" s="53" customFormat="1" ht="14.1" customHeight="1" x14ac:dyDescent="0.2">
      <c r="B48" s="281"/>
      <c r="C48" s="58"/>
      <c r="D48" s="162">
        <v>2018</v>
      </c>
      <c r="E48" s="167">
        <f t="shared" si="12"/>
        <v>722</v>
      </c>
      <c r="F48" s="404">
        <v>249</v>
      </c>
      <c r="G48" s="404">
        <v>18</v>
      </c>
      <c r="H48" s="404">
        <v>27</v>
      </c>
      <c r="I48" s="404">
        <v>120</v>
      </c>
      <c r="J48" s="408" t="s">
        <v>51</v>
      </c>
      <c r="K48" s="305">
        <v>308</v>
      </c>
    </row>
    <row r="49" spans="1:11" s="53" customFormat="1" ht="8.1" customHeight="1" x14ac:dyDescent="0.25">
      <c r="B49" s="281"/>
      <c r="C49" s="58"/>
      <c r="D49" s="162"/>
      <c r="E49" s="167"/>
      <c r="F49" s="313"/>
      <c r="G49" s="313"/>
      <c r="H49" s="313"/>
      <c r="I49" s="313"/>
      <c r="J49" s="313"/>
      <c r="K49" s="313"/>
    </row>
    <row r="50" spans="1:11" s="53" customFormat="1" ht="14.1" customHeight="1" x14ac:dyDescent="0.25">
      <c r="B50" s="58" t="s">
        <v>26</v>
      </c>
      <c r="C50" s="85"/>
      <c r="D50" s="162">
        <v>2016</v>
      </c>
      <c r="E50" s="167">
        <f t="shared" ref="E50:E52" si="13">SUM(F50:K50)</f>
        <v>278</v>
      </c>
      <c r="F50" s="313">
        <v>64</v>
      </c>
      <c r="G50" s="313">
        <v>12</v>
      </c>
      <c r="H50" s="313">
        <v>20</v>
      </c>
      <c r="I50" s="313">
        <v>79</v>
      </c>
      <c r="J50" s="313">
        <v>2</v>
      </c>
      <c r="K50" s="313">
        <v>101</v>
      </c>
    </row>
    <row r="51" spans="1:11" s="53" customFormat="1" ht="14.1" customHeight="1" x14ac:dyDescent="0.25">
      <c r="B51" s="58"/>
      <c r="C51" s="85"/>
      <c r="D51" s="162">
        <v>2017</v>
      </c>
      <c r="E51" s="167">
        <f t="shared" si="13"/>
        <v>258</v>
      </c>
      <c r="F51" s="313">
        <f>58+10</f>
        <v>68</v>
      </c>
      <c r="G51" s="313">
        <v>3</v>
      </c>
      <c r="H51" s="313">
        <v>14</v>
      </c>
      <c r="I51" s="313">
        <v>69</v>
      </c>
      <c r="J51" s="317" t="s">
        <v>51</v>
      </c>
      <c r="K51" s="313">
        <f>4+18+39+1+42</f>
        <v>104</v>
      </c>
    </row>
    <row r="52" spans="1:11" s="53" customFormat="1" ht="14.1" customHeight="1" x14ac:dyDescent="0.2">
      <c r="A52" s="119"/>
      <c r="B52" s="281"/>
      <c r="C52" s="58"/>
      <c r="D52" s="162">
        <v>2018</v>
      </c>
      <c r="E52" s="167">
        <f t="shared" si="13"/>
        <v>290</v>
      </c>
      <c r="F52" s="404">
        <v>104</v>
      </c>
      <c r="G52" s="404">
        <v>2</v>
      </c>
      <c r="H52" s="404">
        <v>18</v>
      </c>
      <c r="I52" s="404">
        <v>57</v>
      </c>
      <c r="J52" s="404" t="s">
        <v>51</v>
      </c>
      <c r="K52" s="305">
        <v>109</v>
      </c>
    </row>
    <row r="53" spans="1:11" s="53" customFormat="1" ht="8.1" customHeight="1" x14ac:dyDescent="0.25">
      <c r="A53" s="119"/>
      <c r="B53" s="281"/>
      <c r="C53" s="58"/>
      <c r="D53" s="162"/>
      <c r="E53" s="167"/>
      <c r="F53" s="313"/>
      <c r="G53" s="313"/>
      <c r="H53" s="313"/>
      <c r="I53" s="313"/>
      <c r="J53" s="313"/>
      <c r="K53" s="313"/>
    </row>
    <row r="54" spans="1:11" s="53" customFormat="1" ht="14.1" customHeight="1" x14ac:dyDescent="0.25">
      <c r="B54" s="58" t="s">
        <v>27</v>
      </c>
      <c r="C54" s="85"/>
      <c r="D54" s="162">
        <v>2016</v>
      </c>
      <c r="E54" s="167">
        <f t="shared" ref="E54:E56" si="14">SUM(F54:K54)</f>
        <v>139</v>
      </c>
      <c r="F54" s="313">
        <v>23</v>
      </c>
      <c r="G54" s="313">
        <v>4</v>
      </c>
      <c r="H54" s="313">
        <v>3</v>
      </c>
      <c r="I54" s="313">
        <v>32</v>
      </c>
      <c r="J54" s="313">
        <v>2</v>
      </c>
      <c r="K54" s="313">
        <v>75</v>
      </c>
    </row>
    <row r="55" spans="1:11" s="53" customFormat="1" ht="14.1" customHeight="1" x14ac:dyDescent="0.25">
      <c r="B55" s="58"/>
      <c r="C55" s="85"/>
      <c r="D55" s="162">
        <v>2017</v>
      </c>
      <c r="E55" s="167">
        <f t="shared" si="14"/>
        <v>138</v>
      </c>
      <c r="F55" s="313">
        <f>21+13</f>
        <v>34</v>
      </c>
      <c r="G55" s="317" t="s">
        <v>51</v>
      </c>
      <c r="H55" s="313">
        <v>1</v>
      </c>
      <c r="I55" s="313">
        <v>19</v>
      </c>
      <c r="J55" s="317" t="s">
        <v>51</v>
      </c>
      <c r="K55" s="313">
        <f>7+14+28+17+18</f>
        <v>84</v>
      </c>
    </row>
    <row r="56" spans="1:11" s="53" customFormat="1" ht="14.1" customHeight="1" x14ac:dyDescent="0.2">
      <c r="A56" s="119"/>
      <c r="B56" s="281"/>
      <c r="C56" s="58"/>
      <c r="D56" s="162">
        <v>2018</v>
      </c>
      <c r="E56" s="167">
        <f t="shared" si="14"/>
        <v>127</v>
      </c>
      <c r="F56" s="404">
        <v>27</v>
      </c>
      <c r="G56" s="404">
        <v>3</v>
      </c>
      <c r="H56" s="404">
        <v>5</v>
      </c>
      <c r="I56" s="404">
        <v>27</v>
      </c>
      <c r="J56" s="404" t="s">
        <v>51</v>
      </c>
      <c r="K56" s="305">
        <v>65</v>
      </c>
    </row>
    <row r="57" spans="1:11" s="53" customFormat="1" ht="8.1" customHeight="1" x14ac:dyDescent="0.25">
      <c r="A57" s="119"/>
      <c r="B57" s="281"/>
      <c r="C57" s="58"/>
      <c r="D57" s="162"/>
      <c r="E57" s="167"/>
      <c r="F57" s="313"/>
      <c r="G57" s="313"/>
      <c r="H57" s="313"/>
      <c r="I57" s="313"/>
      <c r="J57" s="313"/>
      <c r="K57" s="313"/>
    </row>
    <row r="58" spans="1:11" s="53" customFormat="1" ht="14.1" customHeight="1" x14ac:dyDescent="0.25">
      <c r="B58" s="58" t="s">
        <v>28</v>
      </c>
      <c r="C58" s="85"/>
      <c r="D58" s="162">
        <v>2016</v>
      </c>
      <c r="E58" s="167">
        <f t="shared" ref="E58:E60" si="15">SUM(F58:K58)</f>
        <v>1355</v>
      </c>
      <c r="F58" s="313">
        <v>352</v>
      </c>
      <c r="G58" s="313">
        <v>69</v>
      </c>
      <c r="H58" s="313">
        <v>102</v>
      </c>
      <c r="I58" s="313">
        <v>552</v>
      </c>
      <c r="J58" s="317" t="s">
        <v>51</v>
      </c>
      <c r="K58" s="313">
        <v>280</v>
      </c>
    </row>
    <row r="59" spans="1:11" s="53" customFormat="1" ht="14.1" customHeight="1" x14ac:dyDescent="0.25">
      <c r="B59" s="58"/>
      <c r="C59" s="85"/>
      <c r="D59" s="162">
        <v>2017</v>
      </c>
      <c r="E59" s="167">
        <f t="shared" si="15"/>
        <v>1199</v>
      </c>
      <c r="F59" s="313">
        <f>230+103</f>
        <v>333</v>
      </c>
      <c r="G59" s="313">
        <f>1+37</f>
        <v>38</v>
      </c>
      <c r="H59" s="313">
        <v>109</v>
      </c>
      <c r="I59" s="313">
        <v>403</v>
      </c>
      <c r="J59" s="317" t="s">
        <v>51</v>
      </c>
      <c r="K59" s="313">
        <f>1+39+61+146+2+66+1</f>
        <v>316</v>
      </c>
    </row>
    <row r="60" spans="1:11" s="53" customFormat="1" ht="14.1" customHeight="1" x14ac:dyDescent="0.2">
      <c r="A60" s="119"/>
      <c r="B60" s="281"/>
      <c r="C60" s="58"/>
      <c r="D60" s="162">
        <v>2018</v>
      </c>
      <c r="E60" s="167">
        <f t="shared" si="15"/>
        <v>1118</v>
      </c>
      <c r="F60" s="322">
        <v>321</v>
      </c>
      <c r="G60" s="322">
        <v>32</v>
      </c>
      <c r="H60" s="322">
        <v>87</v>
      </c>
      <c r="I60" s="322">
        <v>359</v>
      </c>
      <c r="J60" s="322">
        <v>1</v>
      </c>
      <c r="K60" s="323">
        <v>318</v>
      </c>
    </row>
    <row r="61" spans="1:11" s="53" customFormat="1" ht="8.1" customHeight="1" x14ac:dyDescent="0.25">
      <c r="A61" s="119"/>
      <c r="B61" s="281"/>
      <c r="C61" s="58"/>
      <c r="D61" s="162"/>
      <c r="E61" s="167"/>
      <c r="F61" s="313"/>
      <c r="G61" s="313"/>
      <c r="H61" s="313"/>
      <c r="I61" s="313"/>
      <c r="J61" s="313"/>
      <c r="K61" s="313"/>
    </row>
    <row r="62" spans="1:11" s="53" customFormat="1" ht="14.1" customHeight="1" x14ac:dyDescent="0.25">
      <c r="B62" s="58" t="s">
        <v>29</v>
      </c>
      <c r="C62" s="85"/>
      <c r="D62" s="162">
        <v>2016</v>
      </c>
      <c r="E62" s="167">
        <f t="shared" ref="E62:E64" si="16">SUM(F62:K62)</f>
        <v>231</v>
      </c>
      <c r="F62" s="317">
        <v>88</v>
      </c>
      <c r="G62" s="313">
        <v>6</v>
      </c>
      <c r="H62" s="313">
        <v>12</v>
      </c>
      <c r="I62" s="313">
        <v>55</v>
      </c>
      <c r="J62" s="317" t="s">
        <v>51</v>
      </c>
      <c r="K62" s="313">
        <v>70</v>
      </c>
    </row>
    <row r="63" spans="1:11" s="53" customFormat="1" ht="14.1" customHeight="1" x14ac:dyDescent="0.25">
      <c r="B63" s="58"/>
      <c r="C63" s="85"/>
      <c r="D63" s="162">
        <v>2017</v>
      </c>
      <c r="E63" s="167">
        <f t="shared" si="16"/>
        <v>171</v>
      </c>
      <c r="F63" s="324">
        <f>43+5</f>
        <v>48</v>
      </c>
      <c r="G63" s="324">
        <v>2</v>
      </c>
      <c r="H63" s="324">
        <v>5</v>
      </c>
      <c r="I63" s="324">
        <v>34</v>
      </c>
      <c r="J63" s="325" t="s">
        <v>51</v>
      </c>
      <c r="K63" s="324">
        <f>5+4+11+33+29</f>
        <v>82</v>
      </c>
    </row>
    <row r="64" spans="1:11" s="53" customFormat="1" ht="14.1" customHeight="1" x14ac:dyDescent="0.2">
      <c r="B64" s="58"/>
      <c r="C64" s="58"/>
      <c r="D64" s="162">
        <v>2018</v>
      </c>
      <c r="E64" s="167">
        <f t="shared" si="16"/>
        <v>177</v>
      </c>
      <c r="F64" s="322">
        <v>66</v>
      </c>
      <c r="G64" s="322">
        <v>1</v>
      </c>
      <c r="H64" s="322">
        <v>3</v>
      </c>
      <c r="I64" s="322">
        <v>29</v>
      </c>
      <c r="J64" s="322" t="s">
        <v>51</v>
      </c>
      <c r="K64" s="323">
        <v>78</v>
      </c>
    </row>
    <row r="65" spans="1:12" ht="8.1" customHeight="1" thickBot="1" x14ac:dyDescent="0.25">
      <c r="A65" s="34"/>
      <c r="B65" s="16"/>
      <c r="C65" s="16"/>
      <c r="D65" s="265"/>
      <c r="E65" s="202"/>
      <c r="F65" s="283"/>
      <c r="G65" s="283"/>
      <c r="H65" s="283"/>
      <c r="I65" s="283"/>
      <c r="J65" s="283"/>
      <c r="K65" s="283"/>
      <c r="L65" s="34"/>
    </row>
    <row r="66" spans="1:12" x14ac:dyDescent="0.25">
      <c r="K66" s="8" t="s">
        <v>101</v>
      </c>
    </row>
    <row r="67" spans="1:12" x14ac:dyDescent="0.25">
      <c r="K67" s="41" t="s">
        <v>1</v>
      </c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A19" zoomScaleNormal="100" zoomScaleSheetLayoutView="100" workbookViewId="0">
      <selection activeCell="J23" sqref="J23"/>
    </sheetView>
  </sheetViews>
  <sheetFormatPr defaultRowHeight="15" x14ac:dyDescent="0.25"/>
  <cols>
    <col min="1" max="1" width="0.85546875" style="2" customWidth="1"/>
    <col min="2" max="2" width="10.140625" style="3" customWidth="1"/>
    <col min="3" max="3" width="11.28515625" style="3" customWidth="1"/>
    <col min="4" max="4" width="10.7109375" style="3" customWidth="1"/>
    <col min="5" max="5" width="10.140625" style="4" customWidth="1"/>
    <col min="6" max="6" width="11.7109375" style="5" customWidth="1"/>
    <col min="7" max="7" width="10.42578125" style="5" customWidth="1"/>
    <col min="8" max="8" width="11.7109375" style="209" customWidth="1"/>
    <col min="9" max="9" width="12.28515625" style="5" customWidth="1"/>
    <col min="10" max="10" width="10.5703125" style="2" customWidth="1"/>
    <col min="11" max="11" width="11" style="2" customWidth="1"/>
    <col min="12" max="12" width="1.1406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85"/>
      <c r="E12" s="286"/>
      <c r="F12" s="287"/>
      <c r="G12" s="286"/>
      <c r="H12" s="286"/>
      <c r="I12" s="286"/>
      <c r="J12" s="287"/>
      <c r="K12" s="286"/>
    </row>
    <row r="13" spans="1:12" s="119" customFormat="1" ht="15" customHeight="1" x14ac:dyDescent="0.2">
      <c r="A13" s="118"/>
      <c r="B13" s="64" t="s">
        <v>100</v>
      </c>
      <c r="C13" s="127"/>
      <c r="D13" s="65">
        <v>2016</v>
      </c>
      <c r="E13" s="166">
        <f>SUM(F13:K13)</f>
        <v>3126</v>
      </c>
      <c r="F13" s="166">
        <f>SUM(F17,F21,F25,F29,F33,F37,F41,F45,F49,F53,F57)</f>
        <v>719</v>
      </c>
      <c r="G13" s="166">
        <f t="shared" ref="G13:K13" si="0">SUM(G17,G21,G25,G29,G33,G37,G41,G45,G49,G53,G57)</f>
        <v>103</v>
      </c>
      <c r="H13" s="166">
        <f t="shared" si="0"/>
        <v>254</v>
      </c>
      <c r="I13" s="166">
        <f t="shared" si="0"/>
        <v>1399</v>
      </c>
      <c r="J13" s="166">
        <f t="shared" si="0"/>
        <v>29</v>
      </c>
      <c r="K13" s="166">
        <f t="shared" si="0"/>
        <v>622</v>
      </c>
    </row>
    <row r="14" spans="1:12" s="119" customFormat="1" ht="15" customHeight="1" x14ac:dyDescent="0.2">
      <c r="A14" s="118"/>
      <c r="B14" s="127"/>
      <c r="C14" s="127"/>
      <c r="D14" s="65">
        <v>2017</v>
      </c>
      <c r="E14" s="166">
        <f t="shared" ref="E14" si="1">SUM(F14:K14)</f>
        <v>2951</v>
      </c>
      <c r="F14" s="166">
        <f t="shared" ref="F14:K15" si="2">SUM(F18,F22,F26,F30,F34,F38,F42,F46,F50,F54,F58)</f>
        <v>794</v>
      </c>
      <c r="G14" s="166">
        <f t="shared" si="2"/>
        <v>58</v>
      </c>
      <c r="H14" s="166">
        <f t="shared" si="2"/>
        <v>214</v>
      </c>
      <c r="I14" s="166">
        <f t="shared" si="2"/>
        <v>1173</v>
      </c>
      <c r="J14" s="166">
        <f t="shared" si="2"/>
        <v>5</v>
      </c>
      <c r="K14" s="166">
        <f t="shared" si="2"/>
        <v>707</v>
      </c>
    </row>
    <row r="15" spans="1:12" s="119" customFormat="1" ht="15" customHeight="1" x14ac:dyDescent="0.2">
      <c r="A15" s="118"/>
      <c r="B15" s="127"/>
      <c r="C15" s="127"/>
      <c r="D15" s="65">
        <v>2018</v>
      </c>
      <c r="E15" s="166">
        <f>SUM(F15:K15)</f>
        <v>3012</v>
      </c>
      <c r="F15" s="166">
        <f t="shared" si="2"/>
        <v>861</v>
      </c>
      <c r="G15" s="166">
        <f t="shared" si="2"/>
        <v>60</v>
      </c>
      <c r="H15" s="166">
        <f t="shared" si="2"/>
        <v>155</v>
      </c>
      <c r="I15" s="166">
        <f t="shared" si="2"/>
        <v>793</v>
      </c>
      <c r="J15" s="166">
        <f t="shared" si="2"/>
        <v>1</v>
      </c>
      <c r="K15" s="166">
        <f t="shared" si="2"/>
        <v>1142</v>
      </c>
    </row>
    <row r="16" spans="1:12" s="119" customFormat="1" ht="8.1" customHeight="1" x14ac:dyDescent="0.2">
      <c r="A16" s="118"/>
      <c r="B16" s="127"/>
      <c r="C16" s="127"/>
      <c r="D16" s="65"/>
      <c r="E16" s="166"/>
      <c r="F16" s="166"/>
      <c r="G16" s="166"/>
      <c r="H16" s="166"/>
      <c r="I16" s="166"/>
      <c r="J16" s="166"/>
      <c r="K16" s="166"/>
    </row>
    <row r="17" spans="1:11" s="86" customFormat="1" ht="15" customHeight="1" x14ac:dyDescent="0.2">
      <c r="A17" s="53"/>
      <c r="B17" s="58" t="s">
        <v>32</v>
      </c>
      <c r="C17" s="58"/>
      <c r="D17" s="162">
        <v>2016</v>
      </c>
      <c r="E17" s="167">
        <f t="shared" ref="E17:E18" si="3">SUM(F17:K17)</f>
        <v>332</v>
      </c>
      <c r="F17" s="326">
        <v>104</v>
      </c>
      <c r="G17" s="326">
        <v>4</v>
      </c>
      <c r="H17" s="326">
        <v>25</v>
      </c>
      <c r="I17" s="326">
        <v>67</v>
      </c>
      <c r="J17" s="326">
        <v>8</v>
      </c>
      <c r="K17" s="326">
        <v>124</v>
      </c>
    </row>
    <row r="18" spans="1:11" s="119" customFormat="1" ht="15" customHeight="1" x14ac:dyDescent="0.2">
      <c r="B18" s="58"/>
      <c r="C18" s="58"/>
      <c r="D18" s="162">
        <v>2017</v>
      </c>
      <c r="E18" s="167">
        <f t="shared" si="3"/>
        <v>280</v>
      </c>
      <c r="F18" s="326">
        <f>59+27</f>
        <v>86</v>
      </c>
      <c r="G18" s="326">
        <v>1</v>
      </c>
      <c r="H18" s="326">
        <v>12</v>
      </c>
      <c r="I18" s="326">
        <v>72</v>
      </c>
      <c r="J18" s="327" t="s">
        <v>51</v>
      </c>
      <c r="K18" s="326">
        <f>7+20+33+47+2</f>
        <v>109</v>
      </c>
    </row>
    <row r="19" spans="1:11" s="53" customFormat="1" ht="15" customHeight="1" x14ac:dyDescent="0.2">
      <c r="A19" s="119"/>
      <c r="B19" s="58"/>
      <c r="C19" s="58"/>
      <c r="D19" s="162">
        <v>2018</v>
      </c>
      <c r="E19" s="167">
        <f>SUM(F19:K19)</f>
        <v>481</v>
      </c>
      <c r="F19" s="404">
        <v>61</v>
      </c>
      <c r="G19" s="404">
        <v>4</v>
      </c>
      <c r="H19" s="404">
        <v>19</v>
      </c>
      <c r="I19" s="404">
        <v>63</v>
      </c>
      <c r="J19" s="404" t="s">
        <v>51</v>
      </c>
      <c r="K19" s="305">
        <v>334</v>
      </c>
    </row>
    <row r="20" spans="1:11" s="53" customFormat="1" ht="8.1" customHeight="1" x14ac:dyDescent="0.2">
      <c r="A20" s="119"/>
      <c r="B20" s="58"/>
      <c r="C20" s="58"/>
      <c r="D20" s="162"/>
      <c r="E20" s="167"/>
      <c r="F20" s="326"/>
      <c r="G20" s="326"/>
      <c r="H20" s="326"/>
      <c r="I20" s="326"/>
      <c r="J20" s="326"/>
      <c r="K20" s="326"/>
    </row>
    <row r="21" spans="1:11" s="53" customFormat="1" ht="15" customHeight="1" x14ac:dyDescent="0.2">
      <c r="B21" s="58" t="s">
        <v>42</v>
      </c>
      <c r="C21" s="58"/>
      <c r="D21" s="162">
        <v>2016</v>
      </c>
      <c r="E21" s="167">
        <f t="shared" ref="E21:E22" si="4">SUM(F21:K21)</f>
        <v>153</v>
      </c>
      <c r="F21" s="326">
        <v>49</v>
      </c>
      <c r="G21" s="326">
        <v>11</v>
      </c>
      <c r="H21" s="326">
        <v>5</v>
      </c>
      <c r="I21" s="326">
        <v>48</v>
      </c>
      <c r="J21" s="326">
        <v>4</v>
      </c>
      <c r="K21" s="326">
        <v>36</v>
      </c>
    </row>
    <row r="22" spans="1:11" s="53" customFormat="1" ht="15" customHeight="1" x14ac:dyDescent="0.2">
      <c r="B22" s="58"/>
      <c r="C22" s="58"/>
      <c r="D22" s="162">
        <v>2017</v>
      </c>
      <c r="E22" s="167">
        <f t="shared" si="4"/>
        <v>100</v>
      </c>
      <c r="F22" s="326">
        <f>27+5</f>
        <v>32</v>
      </c>
      <c r="G22" s="326">
        <v>2</v>
      </c>
      <c r="H22" s="326">
        <v>3</v>
      </c>
      <c r="I22" s="326">
        <v>36</v>
      </c>
      <c r="J22" s="327" t="s">
        <v>51</v>
      </c>
      <c r="K22" s="326">
        <f>1+1+4+1+20</f>
        <v>27</v>
      </c>
    </row>
    <row r="23" spans="1:11" s="53" customFormat="1" ht="15" customHeight="1" x14ac:dyDescent="0.2">
      <c r="A23" s="119"/>
      <c r="B23" s="58"/>
      <c r="C23" s="58"/>
      <c r="D23" s="162">
        <v>2018</v>
      </c>
      <c r="E23" s="167">
        <f>SUM(F23:K23)</f>
        <v>109</v>
      </c>
      <c r="F23" s="404">
        <v>38</v>
      </c>
      <c r="G23" s="404">
        <v>2</v>
      </c>
      <c r="H23" s="404">
        <v>1</v>
      </c>
      <c r="I23" s="404">
        <v>28</v>
      </c>
      <c r="J23" s="404" t="s">
        <v>51</v>
      </c>
      <c r="K23" s="305">
        <v>40</v>
      </c>
    </row>
    <row r="24" spans="1:11" s="53" customFormat="1" ht="8.1" customHeight="1" x14ac:dyDescent="0.2">
      <c r="A24" s="119"/>
      <c r="B24" s="58"/>
      <c r="C24" s="58"/>
      <c r="D24" s="162"/>
      <c r="E24" s="167"/>
      <c r="F24" s="326"/>
      <c r="G24" s="326"/>
      <c r="H24" s="326"/>
      <c r="I24" s="326"/>
      <c r="J24" s="326"/>
      <c r="K24" s="326"/>
    </row>
    <row r="25" spans="1:11" s="53" customFormat="1" ht="15" customHeight="1" x14ac:dyDescent="0.2">
      <c r="B25" s="58" t="s">
        <v>33</v>
      </c>
      <c r="C25" s="58"/>
      <c r="D25" s="162">
        <v>2016</v>
      </c>
      <c r="E25" s="167">
        <f t="shared" ref="E25:E26" si="5">SUM(F25:K25)</f>
        <v>59</v>
      </c>
      <c r="F25" s="326">
        <v>14</v>
      </c>
      <c r="G25" s="326">
        <v>3</v>
      </c>
      <c r="H25" s="326">
        <v>16</v>
      </c>
      <c r="I25" s="326">
        <v>23</v>
      </c>
      <c r="J25" s="327" t="s">
        <v>51</v>
      </c>
      <c r="K25" s="326">
        <v>3</v>
      </c>
    </row>
    <row r="26" spans="1:11" s="53" customFormat="1" ht="15" customHeight="1" x14ac:dyDescent="0.2">
      <c r="B26" s="58"/>
      <c r="C26" s="58"/>
      <c r="D26" s="162">
        <v>2017</v>
      </c>
      <c r="E26" s="167">
        <f t="shared" si="5"/>
        <v>63</v>
      </c>
      <c r="F26" s="326">
        <f>5+7</f>
        <v>12</v>
      </c>
      <c r="G26" s="326">
        <v>1</v>
      </c>
      <c r="H26" s="326">
        <v>10</v>
      </c>
      <c r="I26" s="326">
        <v>23</v>
      </c>
      <c r="J26" s="327" t="s">
        <v>51</v>
      </c>
      <c r="K26" s="326">
        <f>1+4+6+6</f>
        <v>17</v>
      </c>
    </row>
    <row r="27" spans="1:11" s="53" customFormat="1" ht="15" customHeight="1" x14ac:dyDescent="0.2">
      <c r="A27" s="119"/>
      <c r="B27" s="58"/>
      <c r="C27" s="58"/>
      <c r="D27" s="162">
        <v>2018</v>
      </c>
      <c r="E27" s="167">
        <f>SUM(F27:K27)</f>
        <v>43</v>
      </c>
      <c r="F27" s="404">
        <v>12</v>
      </c>
      <c r="G27" s="404">
        <v>1</v>
      </c>
      <c r="H27" s="404">
        <v>6</v>
      </c>
      <c r="I27" s="404">
        <v>16</v>
      </c>
      <c r="J27" s="404" t="s">
        <v>51</v>
      </c>
      <c r="K27" s="305">
        <v>8</v>
      </c>
    </row>
    <row r="28" spans="1:11" s="53" customFormat="1" ht="8.1" customHeight="1" x14ac:dyDescent="0.2">
      <c r="A28" s="119"/>
      <c r="B28" s="58"/>
      <c r="C28" s="58"/>
      <c r="D28" s="162"/>
      <c r="E28" s="167"/>
      <c r="F28" s="326"/>
      <c r="G28" s="326"/>
      <c r="H28" s="326"/>
      <c r="I28" s="326"/>
      <c r="J28" s="326"/>
      <c r="K28" s="326"/>
    </row>
    <row r="29" spans="1:11" s="53" customFormat="1" ht="15" customHeight="1" x14ac:dyDescent="0.2">
      <c r="B29" s="58" t="s">
        <v>34</v>
      </c>
      <c r="C29" s="58"/>
      <c r="D29" s="162">
        <v>2016</v>
      </c>
      <c r="E29" s="167">
        <f t="shared" ref="E29:E30" si="6">SUM(F29:K29)</f>
        <v>176</v>
      </c>
      <c r="F29" s="326">
        <v>49</v>
      </c>
      <c r="G29" s="327" t="s">
        <v>51</v>
      </c>
      <c r="H29" s="326">
        <v>14</v>
      </c>
      <c r="I29" s="326">
        <v>60</v>
      </c>
      <c r="J29" s="326">
        <v>3</v>
      </c>
      <c r="K29" s="326">
        <v>50</v>
      </c>
    </row>
    <row r="30" spans="1:11" s="53" customFormat="1" ht="15" customHeight="1" x14ac:dyDescent="0.2">
      <c r="B30" s="58"/>
      <c r="C30" s="58"/>
      <c r="D30" s="162">
        <v>2017</v>
      </c>
      <c r="E30" s="167">
        <f t="shared" si="6"/>
        <v>162</v>
      </c>
      <c r="F30" s="326">
        <f>50+11</f>
        <v>61</v>
      </c>
      <c r="G30" s="326">
        <v>4</v>
      </c>
      <c r="H30" s="326">
        <v>11</v>
      </c>
      <c r="I30" s="326">
        <v>32</v>
      </c>
      <c r="J30" s="327" t="s">
        <v>51</v>
      </c>
      <c r="K30" s="326">
        <f>2+4+9+17+2+20</f>
        <v>54</v>
      </c>
    </row>
    <row r="31" spans="1:11" s="53" customFormat="1" ht="15" customHeight="1" x14ac:dyDescent="0.2">
      <c r="A31" s="119"/>
      <c r="B31" s="58"/>
      <c r="C31" s="58"/>
      <c r="D31" s="162">
        <v>2018</v>
      </c>
      <c r="E31" s="167">
        <f>SUM(F31:K31)</f>
        <v>156</v>
      </c>
      <c r="F31" s="404">
        <v>46</v>
      </c>
      <c r="G31" s="404">
        <v>6</v>
      </c>
      <c r="H31" s="404">
        <v>4</v>
      </c>
      <c r="I31" s="404">
        <v>54</v>
      </c>
      <c r="J31" s="404" t="s">
        <v>51</v>
      </c>
      <c r="K31" s="305">
        <v>46</v>
      </c>
    </row>
    <row r="32" spans="1:11" s="53" customFormat="1" ht="8.1" customHeight="1" x14ac:dyDescent="0.2">
      <c r="A32" s="119"/>
      <c r="B32" s="58"/>
      <c r="C32" s="58"/>
      <c r="D32" s="162"/>
      <c r="E32" s="167"/>
      <c r="F32" s="326"/>
      <c r="G32" s="326"/>
      <c r="H32" s="326"/>
      <c r="I32" s="326"/>
      <c r="J32" s="326"/>
      <c r="K32" s="326"/>
    </row>
    <row r="33" spans="1:14" s="118" customFormat="1" ht="15" customHeight="1" x14ac:dyDescent="0.2">
      <c r="A33" s="53"/>
      <c r="B33" s="58" t="s">
        <v>36</v>
      </c>
      <c r="C33" s="58"/>
      <c r="D33" s="162">
        <v>2016</v>
      </c>
      <c r="E33" s="167">
        <f t="shared" ref="E33:E34" si="7">SUM(F33:K33)</f>
        <v>115</v>
      </c>
      <c r="F33" s="326">
        <v>26</v>
      </c>
      <c r="G33" s="326">
        <v>8</v>
      </c>
      <c r="H33" s="326">
        <v>7</v>
      </c>
      <c r="I33" s="326">
        <v>39</v>
      </c>
      <c r="J33" s="326">
        <v>1</v>
      </c>
      <c r="K33" s="326">
        <v>34</v>
      </c>
      <c r="L33" s="53"/>
      <c r="M33" s="53"/>
      <c r="N33" s="53"/>
    </row>
    <row r="34" spans="1:14" s="53" customFormat="1" ht="15" customHeight="1" x14ac:dyDescent="0.2">
      <c r="B34" s="58"/>
      <c r="C34" s="58"/>
      <c r="D34" s="162">
        <v>2017</v>
      </c>
      <c r="E34" s="167">
        <f t="shared" si="7"/>
        <v>112</v>
      </c>
      <c r="F34" s="327">
        <f>26+3</f>
        <v>29</v>
      </c>
      <c r="G34" s="327">
        <f>1+5</f>
        <v>6</v>
      </c>
      <c r="H34" s="326">
        <v>2</v>
      </c>
      <c r="I34" s="327">
        <v>32</v>
      </c>
      <c r="J34" s="326">
        <v>1</v>
      </c>
      <c r="K34" s="326">
        <f>4+4+17+1+16</f>
        <v>42</v>
      </c>
    </row>
    <row r="35" spans="1:14" s="53" customFormat="1" ht="15" customHeight="1" x14ac:dyDescent="0.2">
      <c r="A35" s="119"/>
      <c r="B35" s="58"/>
      <c r="C35" s="58"/>
      <c r="D35" s="162">
        <v>2018</v>
      </c>
      <c r="E35" s="167">
        <f>SUM(F35:K35)</f>
        <v>104</v>
      </c>
      <c r="F35" s="404">
        <v>18</v>
      </c>
      <c r="G35" s="404">
        <v>6</v>
      </c>
      <c r="H35" s="404">
        <v>5</v>
      </c>
      <c r="I35" s="404">
        <v>23</v>
      </c>
      <c r="J35" s="404" t="s">
        <v>51</v>
      </c>
      <c r="K35" s="305">
        <v>52</v>
      </c>
    </row>
    <row r="36" spans="1:14" s="53" customFormat="1" ht="8.1" customHeight="1" x14ac:dyDescent="0.2">
      <c r="A36" s="119"/>
      <c r="B36" s="58"/>
      <c r="C36" s="58"/>
      <c r="D36" s="162"/>
      <c r="E36" s="167"/>
      <c r="F36" s="327"/>
      <c r="G36" s="327"/>
      <c r="H36" s="326"/>
      <c r="I36" s="327"/>
      <c r="J36" s="326"/>
      <c r="K36" s="326"/>
    </row>
    <row r="37" spans="1:14" s="53" customFormat="1" ht="15" customHeight="1" x14ac:dyDescent="0.2">
      <c r="B37" s="58" t="s">
        <v>35</v>
      </c>
      <c r="C37" s="58"/>
      <c r="D37" s="162">
        <v>2016</v>
      </c>
      <c r="E37" s="167">
        <f t="shared" ref="E37:E38" si="8">SUM(F37:K37)</f>
        <v>1341</v>
      </c>
      <c r="F37" s="326">
        <v>224</v>
      </c>
      <c r="G37" s="326">
        <v>55</v>
      </c>
      <c r="H37" s="326">
        <v>127</v>
      </c>
      <c r="I37" s="326">
        <v>733</v>
      </c>
      <c r="J37" s="326">
        <v>5</v>
      </c>
      <c r="K37" s="326">
        <v>197</v>
      </c>
    </row>
    <row r="38" spans="1:14" s="53" customFormat="1" ht="15" customHeight="1" x14ac:dyDescent="0.2">
      <c r="B38" s="58"/>
      <c r="C38" s="58"/>
      <c r="D38" s="162">
        <v>2017</v>
      </c>
      <c r="E38" s="167">
        <f t="shared" si="8"/>
        <v>1320</v>
      </c>
      <c r="F38" s="326">
        <f>258+86</f>
        <v>344</v>
      </c>
      <c r="G38" s="326">
        <f>5+24</f>
        <v>29</v>
      </c>
      <c r="H38" s="326">
        <v>125</v>
      </c>
      <c r="I38" s="326">
        <v>573</v>
      </c>
      <c r="J38" s="326">
        <v>1</v>
      </c>
      <c r="K38" s="326">
        <f>2+38+34+92+1+81</f>
        <v>248</v>
      </c>
    </row>
    <row r="39" spans="1:14" s="53" customFormat="1" ht="15" customHeight="1" x14ac:dyDescent="0.2">
      <c r="A39" s="119"/>
      <c r="B39" s="58"/>
      <c r="C39" s="58"/>
      <c r="D39" s="162">
        <v>2018</v>
      </c>
      <c r="E39" s="167">
        <f>SUM(F39:K39)</f>
        <v>1313</v>
      </c>
      <c r="F39" s="404">
        <v>487</v>
      </c>
      <c r="G39" s="404">
        <v>24</v>
      </c>
      <c r="H39" s="404">
        <v>66</v>
      </c>
      <c r="I39" s="404">
        <v>308</v>
      </c>
      <c r="J39" s="404">
        <v>1</v>
      </c>
      <c r="K39" s="305">
        <v>427</v>
      </c>
    </row>
    <row r="40" spans="1:14" s="53" customFormat="1" ht="8.1" customHeight="1" x14ac:dyDescent="0.2">
      <c r="A40" s="119"/>
      <c r="B40" s="58"/>
      <c r="C40" s="58"/>
      <c r="D40" s="162"/>
      <c r="E40" s="167"/>
      <c r="F40" s="326"/>
      <c r="G40" s="326"/>
      <c r="H40" s="326"/>
      <c r="I40" s="326"/>
      <c r="J40" s="326"/>
      <c r="K40" s="326"/>
    </row>
    <row r="41" spans="1:14" s="53" customFormat="1" ht="15" customHeight="1" x14ac:dyDescent="0.2">
      <c r="B41" s="58" t="s">
        <v>41</v>
      </c>
      <c r="C41" s="58"/>
      <c r="D41" s="162">
        <v>2016</v>
      </c>
      <c r="E41" s="167">
        <f>SUM(F41:K41)</f>
        <v>219</v>
      </c>
      <c r="F41" s="326">
        <v>48</v>
      </c>
      <c r="G41" s="326">
        <v>1</v>
      </c>
      <c r="H41" s="326">
        <v>9</v>
      </c>
      <c r="I41" s="326">
        <v>122</v>
      </c>
      <c r="J41" s="326">
        <v>2</v>
      </c>
      <c r="K41" s="326">
        <v>37</v>
      </c>
    </row>
    <row r="42" spans="1:14" s="53" customFormat="1" ht="15" customHeight="1" x14ac:dyDescent="0.2">
      <c r="B42" s="58"/>
      <c r="C42" s="58"/>
      <c r="D42" s="162">
        <v>2017</v>
      </c>
      <c r="E42" s="167">
        <f t="shared" ref="E42" si="9">SUM(F42:K42)</f>
        <v>218</v>
      </c>
      <c r="F42" s="326">
        <f>59+10</f>
        <v>69</v>
      </c>
      <c r="G42" s="326">
        <f>1+3</f>
        <v>4</v>
      </c>
      <c r="H42" s="326">
        <v>5</v>
      </c>
      <c r="I42" s="326">
        <v>77</v>
      </c>
      <c r="J42" s="327" t="s">
        <v>51</v>
      </c>
      <c r="K42" s="326">
        <v>63</v>
      </c>
    </row>
    <row r="43" spans="1:14" s="53" customFormat="1" ht="15" customHeight="1" x14ac:dyDescent="0.2">
      <c r="A43" s="119"/>
      <c r="B43" s="58"/>
      <c r="C43" s="58"/>
      <c r="D43" s="162">
        <v>2018</v>
      </c>
      <c r="E43" s="167">
        <f>SUM(F43:K43)</f>
        <v>217</v>
      </c>
      <c r="F43" s="404">
        <v>73</v>
      </c>
      <c r="G43" s="404">
        <v>4</v>
      </c>
      <c r="H43" s="404">
        <v>9</v>
      </c>
      <c r="I43" s="404">
        <v>70</v>
      </c>
      <c r="J43" s="404" t="s">
        <v>51</v>
      </c>
      <c r="K43" s="305">
        <v>61</v>
      </c>
    </row>
    <row r="44" spans="1:14" s="53" customFormat="1" ht="8.1" customHeight="1" x14ac:dyDescent="0.2">
      <c r="A44" s="119"/>
      <c r="B44" s="58"/>
      <c r="C44" s="58"/>
      <c r="D44" s="162"/>
      <c r="E44" s="167"/>
      <c r="F44" s="326"/>
      <c r="G44" s="326"/>
      <c r="H44" s="326"/>
      <c r="I44" s="326"/>
      <c r="J44" s="326"/>
      <c r="K44" s="326"/>
    </row>
    <row r="45" spans="1:14" s="53" customFormat="1" ht="15" customHeight="1" x14ac:dyDescent="0.2">
      <c r="B45" s="58" t="s">
        <v>37</v>
      </c>
      <c r="C45" s="58"/>
      <c r="D45" s="162">
        <v>2016</v>
      </c>
      <c r="E45" s="167">
        <f t="shared" ref="E45:E46" si="10">SUM(F45:K45)</f>
        <v>151</v>
      </c>
      <c r="F45" s="326">
        <v>41</v>
      </c>
      <c r="G45" s="326">
        <v>1</v>
      </c>
      <c r="H45" s="326">
        <v>5</v>
      </c>
      <c r="I45" s="326">
        <v>76</v>
      </c>
      <c r="J45" s="326">
        <v>2</v>
      </c>
      <c r="K45" s="326">
        <v>26</v>
      </c>
    </row>
    <row r="46" spans="1:14" s="53" customFormat="1" ht="15" customHeight="1" x14ac:dyDescent="0.2">
      <c r="B46" s="58"/>
      <c r="C46" s="58"/>
      <c r="D46" s="162">
        <v>2017</v>
      </c>
      <c r="E46" s="167">
        <f t="shared" si="10"/>
        <v>138</v>
      </c>
      <c r="F46" s="326">
        <f>36+6</f>
        <v>42</v>
      </c>
      <c r="G46" s="327" t="s">
        <v>51</v>
      </c>
      <c r="H46" s="326">
        <v>4</v>
      </c>
      <c r="I46" s="326">
        <v>63</v>
      </c>
      <c r="J46" s="326">
        <v>1</v>
      </c>
      <c r="K46" s="326">
        <f>2+2+7+17</f>
        <v>28</v>
      </c>
    </row>
    <row r="47" spans="1:14" s="53" customFormat="1" ht="15" customHeight="1" x14ac:dyDescent="0.2">
      <c r="A47" s="119"/>
      <c r="B47" s="58"/>
      <c r="C47" s="58"/>
      <c r="D47" s="162">
        <v>2018</v>
      </c>
      <c r="E47" s="167">
        <f>SUM(F47:K47)</f>
        <v>115</v>
      </c>
      <c r="F47" s="404">
        <v>26</v>
      </c>
      <c r="G47" s="404">
        <v>1</v>
      </c>
      <c r="H47" s="404">
        <v>5</v>
      </c>
      <c r="I47" s="404">
        <v>54</v>
      </c>
      <c r="J47" s="404" t="s">
        <v>51</v>
      </c>
      <c r="K47" s="305">
        <v>29</v>
      </c>
    </row>
    <row r="48" spans="1:14" s="53" customFormat="1" ht="8.1" customHeight="1" x14ac:dyDescent="0.2">
      <c r="A48" s="119"/>
      <c r="B48" s="58"/>
      <c r="C48" s="58"/>
      <c r="D48" s="162"/>
      <c r="E48" s="167"/>
      <c r="F48" s="326"/>
      <c r="G48" s="326"/>
      <c r="H48" s="326"/>
      <c r="I48" s="326"/>
      <c r="J48" s="326"/>
      <c r="K48" s="326"/>
    </row>
    <row r="49" spans="1:12" s="119" customFormat="1" ht="15" customHeight="1" x14ac:dyDescent="0.2">
      <c r="A49" s="53"/>
      <c r="B49" s="58" t="s">
        <v>38</v>
      </c>
      <c r="C49" s="58"/>
      <c r="D49" s="162">
        <v>2016</v>
      </c>
      <c r="E49" s="167">
        <f t="shared" ref="E49:E50" si="11">SUM(F49:K49)</f>
        <v>94</v>
      </c>
      <c r="F49" s="326">
        <v>29</v>
      </c>
      <c r="G49" s="326">
        <v>8</v>
      </c>
      <c r="H49" s="326">
        <v>9</v>
      </c>
      <c r="I49" s="326">
        <v>29</v>
      </c>
      <c r="J49" s="327" t="s">
        <v>51</v>
      </c>
      <c r="K49" s="326">
        <v>19</v>
      </c>
    </row>
    <row r="50" spans="1:12" s="119" customFormat="1" ht="15" customHeight="1" x14ac:dyDescent="0.2">
      <c r="A50" s="53"/>
      <c r="B50" s="58"/>
      <c r="C50" s="58"/>
      <c r="D50" s="162">
        <v>2017</v>
      </c>
      <c r="E50" s="167">
        <f t="shared" si="11"/>
        <v>103</v>
      </c>
      <c r="F50" s="326">
        <f>19+7</f>
        <v>26</v>
      </c>
      <c r="G50" s="326">
        <v>4</v>
      </c>
      <c r="H50" s="326">
        <v>5</v>
      </c>
      <c r="I50" s="326">
        <v>45</v>
      </c>
      <c r="J50" s="326">
        <v>1</v>
      </c>
      <c r="K50" s="326">
        <f>2+2+6+12</f>
        <v>22</v>
      </c>
    </row>
    <row r="51" spans="1:12" s="119" customFormat="1" ht="15" customHeight="1" x14ac:dyDescent="0.2">
      <c r="B51" s="58"/>
      <c r="C51" s="58"/>
      <c r="D51" s="162">
        <v>2018</v>
      </c>
      <c r="E51" s="167">
        <f>SUM(F51:K51)</f>
        <v>87</v>
      </c>
      <c r="F51" s="404">
        <v>20</v>
      </c>
      <c r="G51" s="404">
        <v>7</v>
      </c>
      <c r="H51" s="404">
        <v>8</v>
      </c>
      <c r="I51" s="404">
        <v>26</v>
      </c>
      <c r="J51" s="404" t="s">
        <v>51</v>
      </c>
      <c r="K51" s="305">
        <v>26</v>
      </c>
    </row>
    <row r="52" spans="1:12" s="119" customFormat="1" ht="8.1" customHeight="1" x14ac:dyDescent="0.2">
      <c r="A52" s="53"/>
      <c r="B52" s="58"/>
      <c r="C52" s="58"/>
      <c r="D52" s="162"/>
      <c r="E52" s="167"/>
      <c r="F52" s="326"/>
      <c r="G52" s="326"/>
      <c r="H52" s="326"/>
      <c r="I52" s="326"/>
      <c r="J52" s="326"/>
      <c r="K52" s="326"/>
    </row>
    <row r="53" spans="1:12" s="119" customFormat="1" ht="15" customHeight="1" x14ac:dyDescent="0.2">
      <c r="A53" s="53"/>
      <c r="B53" s="58" t="s">
        <v>40</v>
      </c>
      <c r="C53" s="58"/>
      <c r="D53" s="162">
        <v>2016</v>
      </c>
      <c r="E53" s="167">
        <f t="shared" ref="E53:E54" si="12">SUM(F53:K53)</f>
        <v>253</v>
      </c>
      <c r="F53" s="326">
        <v>72</v>
      </c>
      <c r="G53" s="326">
        <v>2</v>
      </c>
      <c r="H53" s="326">
        <v>9</v>
      </c>
      <c r="I53" s="326">
        <v>109</v>
      </c>
      <c r="J53" s="326">
        <v>3</v>
      </c>
      <c r="K53" s="326">
        <v>58</v>
      </c>
    </row>
    <row r="54" spans="1:12" s="119" customFormat="1" ht="15" customHeight="1" x14ac:dyDescent="0.2">
      <c r="A54" s="53"/>
      <c r="B54" s="58"/>
      <c r="C54" s="58"/>
      <c r="D54" s="162">
        <v>2017</v>
      </c>
      <c r="E54" s="167">
        <f t="shared" si="12"/>
        <v>182</v>
      </c>
      <c r="F54" s="326">
        <f>40+2</f>
        <v>42</v>
      </c>
      <c r="G54" s="326">
        <v>2</v>
      </c>
      <c r="H54" s="326">
        <v>11</v>
      </c>
      <c r="I54" s="326">
        <v>77</v>
      </c>
      <c r="J54" s="326">
        <v>1</v>
      </c>
      <c r="K54" s="326">
        <f>4+3+17+1+24</f>
        <v>49</v>
      </c>
    </row>
    <row r="55" spans="1:12" s="119" customFormat="1" ht="15" customHeight="1" x14ac:dyDescent="0.2">
      <c r="B55" s="58"/>
      <c r="C55" s="58"/>
      <c r="D55" s="162">
        <v>2018</v>
      </c>
      <c r="E55" s="167">
        <f>SUM(F55:K55)</f>
        <v>142</v>
      </c>
      <c r="F55" s="404">
        <v>43</v>
      </c>
      <c r="G55" s="404">
        <v>2</v>
      </c>
      <c r="H55" s="404">
        <v>3</v>
      </c>
      <c r="I55" s="404">
        <v>57</v>
      </c>
      <c r="J55" s="404" t="s">
        <v>51</v>
      </c>
      <c r="K55" s="305">
        <v>37</v>
      </c>
    </row>
    <row r="56" spans="1:12" s="119" customFormat="1" ht="8.1" customHeight="1" x14ac:dyDescent="0.2">
      <c r="B56" s="58"/>
      <c r="C56" s="58"/>
      <c r="D56" s="162"/>
      <c r="E56" s="167"/>
      <c r="F56" s="326"/>
      <c r="G56" s="326"/>
      <c r="H56" s="326"/>
      <c r="I56" s="326"/>
      <c r="J56" s="326"/>
      <c r="K56" s="326"/>
    </row>
    <row r="57" spans="1:12" s="119" customFormat="1" ht="15" customHeight="1" x14ac:dyDescent="0.2">
      <c r="A57" s="53"/>
      <c r="B57" s="58" t="s">
        <v>39</v>
      </c>
      <c r="C57" s="58"/>
      <c r="D57" s="162">
        <v>2016</v>
      </c>
      <c r="E57" s="167">
        <f t="shared" ref="E57:E58" si="13">SUM(F57:K57)</f>
        <v>233</v>
      </c>
      <c r="F57" s="327">
        <v>63</v>
      </c>
      <c r="G57" s="326">
        <v>10</v>
      </c>
      <c r="H57" s="326">
        <v>28</v>
      </c>
      <c r="I57" s="326">
        <v>93</v>
      </c>
      <c r="J57" s="326">
        <v>1</v>
      </c>
      <c r="K57" s="326">
        <v>38</v>
      </c>
    </row>
    <row r="58" spans="1:12" s="119" customFormat="1" ht="15" customHeight="1" x14ac:dyDescent="0.2">
      <c r="B58" s="58"/>
      <c r="C58" s="58"/>
      <c r="D58" s="162">
        <v>2017</v>
      </c>
      <c r="E58" s="167">
        <f t="shared" si="13"/>
        <v>273</v>
      </c>
      <c r="F58" s="326">
        <f>38+13</f>
        <v>51</v>
      </c>
      <c r="G58" s="326">
        <f>1+4</f>
        <v>5</v>
      </c>
      <c r="H58" s="326">
        <v>26</v>
      </c>
      <c r="I58" s="326">
        <v>143</v>
      </c>
      <c r="J58" s="327" t="s">
        <v>51</v>
      </c>
      <c r="K58" s="326">
        <f>8+12+12+2+14</f>
        <v>48</v>
      </c>
    </row>
    <row r="59" spans="1:12" s="119" customFormat="1" ht="15" customHeight="1" x14ac:dyDescent="0.2">
      <c r="B59" s="58"/>
      <c r="C59" s="58"/>
      <c r="D59" s="162">
        <v>2018</v>
      </c>
      <c r="E59" s="167">
        <f>SUM(F59:K59)</f>
        <v>245</v>
      </c>
      <c r="F59" s="322">
        <v>37</v>
      </c>
      <c r="G59" s="322">
        <v>3</v>
      </c>
      <c r="H59" s="322">
        <v>29</v>
      </c>
      <c r="I59" s="322">
        <v>94</v>
      </c>
      <c r="J59" s="322">
        <v>0</v>
      </c>
      <c r="K59" s="323">
        <v>82</v>
      </c>
    </row>
    <row r="60" spans="1:12" s="7" customFormat="1" ht="8.1" customHeight="1" thickBot="1" x14ac:dyDescent="0.25">
      <c r="A60" s="34"/>
      <c r="B60" s="16"/>
      <c r="C60" s="16"/>
      <c r="D60" s="134"/>
      <c r="E60" s="202"/>
      <c r="F60" s="202"/>
      <c r="G60" s="202"/>
      <c r="H60" s="202"/>
      <c r="I60" s="202"/>
      <c r="J60" s="202"/>
      <c r="K60" s="202"/>
      <c r="L60" s="34"/>
    </row>
    <row r="61" spans="1:12" x14ac:dyDescent="0.25">
      <c r="B61" s="266"/>
      <c r="C61" s="266"/>
      <c r="D61" s="266"/>
      <c r="E61" s="206"/>
      <c r="F61" s="207"/>
      <c r="G61" s="7"/>
      <c r="H61" s="7"/>
      <c r="I61" s="268"/>
      <c r="J61" s="208"/>
      <c r="K61" s="8" t="s">
        <v>101</v>
      </c>
    </row>
    <row r="62" spans="1:12" x14ac:dyDescent="0.25">
      <c r="B62" s="7"/>
      <c r="C62" s="7"/>
      <c r="D62" s="7"/>
      <c r="E62" s="269"/>
      <c r="F62" s="267"/>
      <c r="G62" s="266"/>
      <c r="H62" s="266"/>
      <c r="I62" s="267"/>
      <c r="J62" s="207"/>
      <c r="K62" s="41" t="s">
        <v>1</v>
      </c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topLeftCell="A13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1.42578125" style="3" customWidth="1"/>
    <col min="3" max="3" width="13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74" customWidth="1"/>
    <col min="8" max="8" width="0.85546875" style="2" customWidth="1"/>
    <col min="9" max="16384" width="9.140625" style="2"/>
  </cols>
  <sheetData>
    <row r="1" spans="1:13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13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13" s="30" customFormat="1" ht="12" customHeight="1" x14ac:dyDescent="0.25">
      <c r="B3" s="27"/>
      <c r="C3" s="27"/>
      <c r="D3" s="27"/>
      <c r="E3" s="28"/>
      <c r="F3" s="29"/>
      <c r="G3" s="172"/>
    </row>
    <row r="4" spans="1:13" s="30" customFormat="1" ht="12" customHeight="1" x14ac:dyDescent="0.25">
      <c r="B4" s="27"/>
      <c r="C4" s="27"/>
      <c r="D4" s="27"/>
      <c r="E4" s="28"/>
      <c r="F4" s="29"/>
      <c r="G4" s="172"/>
    </row>
    <row r="5" spans="1:13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13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13" ht="9.9499999999999993" customHeight="1" thickBot="1" x14ac:dyDescent="0.3"/>
    <row r="8" spans="1:13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61" t="s">
        <v>96</v>
      </c>
      <c r="H8" s="347"/>
    </row>
    <row r="9" spans="1:13" s="53" customFormat="1" ht="33" customHeight="1" thickBot="1" x14ac:dyDescent="0.25">
      <c r="A9" s="348"/>
      <c r="B9" s="464"/>
      <c r="C9" s="464"/>
      <c r="D9" s="458"/>
      <c r="E9" s="458"/>
      <c r="F9" s="460"/>
      <c r="G9" s="462"/>
      <c r="H9" s="344"/>
    </row>
    <row r="10" spans="1:13" ht="8.1" customHeight="1" x14ac:dyDescent="0.2">
      <c r="A10" s="45"/>
      <c r="B10" s="46"/>
      <c r="C10" s="46"/>
      <c r="D10" s="46"/>
      <c r="E10" s="465"/>
      <c r="F10" s="465"/>
      <c r="G10" s="465"/>
      <c r="H10" s="45"/>
    </row>
    <row r="11" spans="1:13" s="24" customFormat="1" ht="15" customHeight="1" x14ac:dyDescent="0.25">
      <c r="B11" s="64" t="s">
        <v>99</v>
      </c>
      <c r="C11" s="64"/>
      <c r="D11" s="65">
        <v>2016</v>
      </c>
      <c r="E11" s="55">
        <f>E15+E19+E23+E27+E31+E35+E39+E43+E47+E51+E55</f>
        <v>7439</v>
      </c>
      <c r="F11" s="157">
        <v>1239</v>
      </c>
      <c r="G11" s="166">
        <v>6201</v>
      </c>
      <c r="M11" s="6"/>
    </row>
    <row r="12" spans="1:13" s="24" customFormat="1" ht="15" customHeight="1" x14ac:dyDescent="0.25">
      <c r="B12" s="64"/>
      <c r="C12" s="64"/>
      <c r="D12" s="65">
        <v>2017</v>
      </c>
      <c r="E12" s="157">
        <f t="shared" ref="E12" si="0">E16+E20+E24+E28+E32+E36+E40+E44+E48+E52+E56</f>
        <v>6759</v>
      </c>
      <c r="F12" s="157">
        <v>996</v>
      </c>
      <c r="G12" s="166">
        <v>5763</v>
      </c>
      <c r="M12" s="6"/>
    </row>
    <row r="13" spans="1:13" s="24" customFormat="1" ht="15" customHeight="1" x14ac:dyDescent="0.25">
      <c r="B13" s="64"/>
      <c r="C13" s="64"/>
      <c r="D13" s="65">
        <v>2018</v>
      </c>
      <c r="E13" s="166">
        <f>E17+E21+E25+E29+E33+E37+E41+E45+E49+E53+E57</f>
        <v>6221</v>
      </c>
      <c r="F13" s="166">
        <v>989</v>
      </c>
      <c r="G13" s="166">
        <v>5232</v>
      </c>
      <c r="M13" s="6"/>
    </row>
    <row r="14" spans="1:13" s="24" customFormat="1" ht="8.1" customHeight="1" x14ac:dyDescent="0.25">
      <c r="B14" s="64"/>
      <c r="C14" s="64"/>
      <c r="D14" s="65"/>
      <c r="E14" s="56"/>
      <c r="F14" s="56"/>
      <c r="G14" s="56"/>
      <c r="M14" s="6"/>
    </row>
    <row r="15" spans="1:13" s="7" customFormat="1" ht="15" customHeight="1" x14ac:dyDescent="0.2">
      <c r="B15" s="58" t="s">
        <v>57</v>
      </c>
      <c r="C15" s="58"/>
      <c r="D15" s="162">
        <v>2016</v>
      </c>
      <c r="E15" s="158">
        <f>SUM(F15:G15)</f>
        <v>420</v>
      </c>
      <c r="F15" s="144">
        <v>69</v>
      </c>
      <c r="G15" s="167">
        <v>351</v>
      </c>
      <c r="M15" s="2"/>
    </row>
    <row r="16" spans="1:13" s="7" customFormat="1" ht="15" customHeight="1" x14ac:dyDescent="0.2">
      <c r="B16" s="58"/>
      <c r="C16" s="58"/>
      <c r="D16" s="162">
        <v>2017</v>
      </c>
      <c r="E16" s="167">
        <f>SUM(F16:G16)</f>
        <v>320</v>
      </c>
      <c r="F16" s="144">
        <v>65</v>
      </c>
      <c r="G16" s="167">
        <v>255</v>
      </c>
      <c r="M16" s="2"/>
    </row>
    <row r="17" spans="2:13" s="7" customFormat="1" ht="15" customHeight="1" x14ac:dyDescent="0.2">
      <c r="B17" s="58"/>
      <c r="C17" s="58"/>
      <c r="D17" s="162">
        <v>2018</v>
      </c>
      <c r="E17" s="167">
        <f>SUM(F17:G17)</f>
        <v>336</v>
      </c>
      <c r="F17" s="144">
        <v>55</v>
      </c>
      <c r="G17" s="167">
        <v>281</v>
      </c>
      <c r="M17" s="2"/>
    </row>
    <row r="18" spans="2:13" s="7" customFormat="1" ht="8.1" customHeight="1" x14ac:dyDescent="0.2">
      <c r="B18" s="58"/>
      <c r="C18" s="58"/>
      <c r="D18" s="162"/>
      <c r="E18" s="158"/>
      <c r="F18" s="54"/>
      <c r="G18" s="167"/>
      <c r="M18" s="2"/>
    </row>
    <row r="19" spans="2:13" s="7" customFormat="1" ht="15" customHeight="1" x14ac:dyDescent="0.2">
      <c r="B19" s="57" t="s">
        <v>58</v>
      </c>
      <c r="C19" s="58"/>
      <c r="D19" s="162">
        <v>2016</v>
      </c>
      <c r="E19" s="158">
        <f>SUM(F19:G19)</f>
        <v>72</v>
      </c>
      <c r="F19" s="146">
        <v>20</v>
      </c>
      <c r="G19" s="167">
        <v>52</v>
      </c>
      <c r="M19" s="2"/>
    </row>
    <row r="20" spans="2:13" s="7" customFormat="1" ht="15" customHeight="1" x14ac:dyDescent="0.2">
      <c r="B20" s="58"/>
      <c r="C20" s="58"/>
      <c r="D20" s="162">
        <v>2017</v>
      </c>
      <c r="E20" s="158">
        <f>SUM(F20:G20)</f>
        <v>68</v>
      </c>
      <c r="F20" s="145">
        <v>11</v>
      </c>
      <c r="G20" s="167">
        <v>57</v>
      </c>
    </row>
    <row r="21" spans="2:13" ht="15" customHeight="1" x14ac:dyDescent="0.2">
      <c r="B21" s="57"/>
      <c r="C21" s="58"/>
      <c r="D21" s="162">
        <v>2018</v>
      </c>
      <c r="E21" s="158">
        <f>SUM(F21:G21)</f>
        <v>66</v>
      </c>
      <c r="F21" s="146">
        <v>15</v>
      </c>
      <c r="G21" s="167">
        <v>51</v>
      </c>
    </row>
    <row r="22" spans="2:13" ht="8.1" customHeight="1" x14ac:dyDescent="0.2">
      <c r="B22" s="57"/>
      <c r="C22" s="58"/>
      <c r="D22" s="162"/>
      <c r="E22" s="158"/>
      <c r="F22" s="54"/>
      <c r="G22" s="167"/>
    </row>
    <row r="23" spans="2:13" ht="15" customHeight="1" x14ac:dyDescent="0.2">
      <c r="B23" s="58" t="s">
        <v>59</v>
      </c>
      <c r="C23" s="57"/>
      <c r="D23" s="162">
        <v>2016</v>
      </c>
      <c r="E23" s="158">
        <f>SUM(F23:G23)</f>
        <v>1992</v>
      </c>
      <c r="F23" s="147">
        <v>343</v>
      </c>
      <c r="G23" s="167">
        <v>1649</v>
      </c>
    </row>
    <row r="24" spans="2:13" ht="15" customHeight="1" x14ac:dyDescent="0.2">
      <c r="B24" s="58"/>
      <c r="C24" s="58"/>
      <c r="D24" s="162">
        <v>2017</v>
      </c>
      <c r="E24" s="158">
        <f>SUM(F24:G24)</f>
        <v>1552</v>
      </c>
      <c r="F24" s="147">
        <v>165</v>
      </c>
      <c r="G24" s="167">
        <v>1387</v>
      </c>
    </row>
    <row r="25" spans="2:13" ht="15" customHeight="1" x14ac:dyDescent="0.2">
      <c r="B25" s="58"/>
      <c r="C25" s="58"/>
      <c r="D25" s="162">
        <v>2018</v>
      </c>
      <c r="E25" s="158">
        <f>SUM(F25:G25)</f>
        <v>1407</v>
      </c>
      <c r="F25" s="147">
        <v>196</v>
      </c>
      <c r="G25" s="167">
        <v>1211</v>
      </c>
    </row>
    <row r="26" spans="2:13" ht="8.1" customHeight="1" x14ac:dyDescent="0.2">
      <c r="B26" s="58"/>
      <c r="C26" s="58"/>
      <c r="D26" s="162"/>
      <c r="E26" s="158"/>
      <c r="F26" s="54"/>
      <c r="G26" s="167"/>
    </row>
    <row r="27" spans="2:13" ht="15" customHeight="1" x14ac:dyDescent="0.2">
      <c r="B27" s="58" t="s">
        <v>60</v>
      </c>
      <c r="C27" s="58"/>
      <c r="D27" s="162">
        <v>2016</v>
      </c>
      <c r="E27" s="158">
        <f>SUM(F27:G27)</f>
        <v>2056</v>
      </c>
      <c r="F27" s="148">
        <v>365</v>
      </c>
      <c r="G27" s="167">
        <v>1691</v>
      </c>
    </row>
    <row r="28" spans="2:13" s="3" customFormat="1" ht="15" customHeight="1" x14ac:dyDescent="0.2">
      <c r="B28" s="58"/>
      <c r="C28" s="58"/>
      <c r="D28" s="162">
        <v>2017</v>
      </c>
      <c r="E28" s="158">
        <f>SUM(F28:G28)</f>
        <v>2077</v>
      </c>
      <c r="F28" s="148">
        <v>372</v>
      </c>
      <c r="G28" s="167">
        <v>1705</v>
      </c>
      <c r="H28" s="2"/>
      <c r="I28" s="2"/>
      <c r="J28" s="2"/>
    </row>
    <row r="29" spans="2:13" ht="15" customHeight="1" x14ac:dyDescent="0.2">
      <c r="B29" s="58"/>
      <c r="C29" s="58"/>
      <c r="D29" s="162">
        <v>2018</v>
      </c>
      <c r="E29" s="158">
        <f>SUM(F29:G29)</f>
        <v>1973</v>
      </c>
      <c r="F29" s="148">
        <v>371</v>
      </c>
      <c r="G29" s="167">
        <v>1602</v>
      </c>
    </row>
    <row r="30" spans="2:13" ht="8.1" customHeight="1" x14ac:dyDescent="0.2">
      <c r="B30" s="58"/>
      <c r="C30" s="58"/>
      <c r="D30" s="162"/>
      <c r="E30" s="158"/>
      <c r="F30" s="54"/>
      <c r="G30" s="167"/>
    </row>
    <row r="31" spans="2:13" ht="15" customHeight="1" x14ac:dyDescent="0.2">
      <c r="B31" s="58" t="s">
        <v>61</v>
      </c>
      <c r="C31" s="58"/>
      <c r="D31" s="162">
        <v>2016</v>
      </c>
      <c r="E31" s="158">
        <f>SUM(F31:G31)</f>
        <v>792</v>
      </c>
      <c r="F31" s="149">
        <v>118</v>
      </c>
      <c r="G31" s="167">
        <v>674</v>
      </c>
    </row>
    <row r="32" spans="2:13" ht="15" customHeight="1" x14ac:dyDescent="0.2">
      <c r="B32" s="58"/>
      <c r="C32" s="58"/>
      <c r="D32" s="162">
        <v>2017</v>
      </c>
      <c r="E32" s="158">
        <f>SUM(F32:G32)</f>
        <v>765</v>
      </c>
      <c r="F32" s="149">
        <v>92</v>
      </c>
      <c r="G32" s="167">
        <v>673</v>
      </c>
    </row>
    <row r="33" spans="2:7" ht="15" customHeight="1" x14ac:dyDescent="0.2">
      <c r="B33" s="58"/>
      <c r="C33" s="58"/>
      <c r="D33" s="162">
        <v>2018</v>
      </c>
      <c r="E33" s="158">
        <f>SUM(F33:G33)</f>
        <v>594</v>
      </c>
      <c r="F33" s="149">
        <v>93</v>
      </c>
      <c r="G33" s="167">
        <v>501</v>
      </c>
    </row>
    <row r="34" spans="2:7" ht="8.1" customHeight="1" x14ac:dyDescent="0.2">
      <c r="B34" s="58"/>
      <c r="C34" s="58"/>
      <c r="D34" s="162"/>
      <c r="E34" s="158"/>
      <c r="F34" s="59"/>
      <c r="G34" s="167"/>
    </row>
    <row r="35" spans="2:7" ht="15" customHeight="1" x14ac:dyDescent="0.2">
      <c r="B35" s="58" t="s">
        <v>62</v>
      </c>
      <c r="C35" s="58"/>
      <c r="D35" s="162">
        <v>2016</v>
      </c>
      <c r="E35" s="158">
        <f>SUM(F35:G35)</f>
        <v>1058</v>
      </c>
      <c r="F35" s="150">
        <v>149</v>
      </c>
      <c r="G35" s="167">
        <v>909</v>
      </c>
    </row>
    <row r="36" spans="2:7" ht="15" customHeight="1" x14ac:dyDescent="0.2">
      <c r="B36" s="58"/>
      <c r="C36" s="58"/>
      <c r="D36" s="162">
        <v>2017</v>
      </c>
      <c r="E36" s="158">
        <f>SUM(F36:G36)</f>
        <v>1018</v>
      </c>
      <c r="F36" s="150">
        <v>171</v>
      </c>
      <c r="G36" s="167">
        <v>847</v>
      </c>
    </row>
    <row r="37" spans="2:7" ht="15" customHeight="1" x14ac:dyDescent="0.2">
      <c r="B37" s="58"/>
      <c r="C37" s="57"/>
      <c r="D37" s="162">
        <v>2018</v>
      </c>
      <c r="E37" s="158">
        <f>SUM(F37:G37)</f>
        <v>858</v>
      </c>
      <c r="F37" s="150">
        <v>131</v>
      </c>
      <c r="G37" s="167">
        <v>727</v>
      </c>
    </row>
    <row r="38" spans="2:7" ht="8.1" customHeight="1" x14ac:dyDescent="0.2">
      <c r="B38" s="58"/>
      <c r="C38" s="57"/>
      <c r="D38" s="162"/>
      <c r="E38" s="158"/>
      <c r="F38" s="54"/>
      <c r="G38" s="167"/>
    </row>
    <row r="39" spans="2:7" ht="15" customHeight="1" x14ac:dyDescent="0.2">
      <c r="B39" s="58" t="s">
        <v>63</v>
      </c>
      <c r="C39" s="58"/>
      <c r="D39" s="162">
        <v>2016</v>
      </c>
      <c r="E39" s="158">
        <f>SUM(F39:G39)</f>
        <v>447</v>
      </c>
      <c r="F39" s="151">
        <v>59</v>
      </c>
      <c r="G39" s="167">
        <v>388</v>
      </c>
    </row>
    <row r="40" spans="2:7" ht="15" customHeight="1" x14ac:dyDescent="0.2">
      <c r="B40" s="58"/>
      <c r="C40" s="58"/>
      <c r="D40" s="162">
        <v>2017</v>
      </c>
      <c r="E40" s="158">
        <f>SUM(F40:G40)</f>
        <v>395</v>
      </c>
      <c r="F40" s="152">
        <v>42</v>
      </c>
      <c r="G40" s="167">
        <v>353</v>
      </c>
    </row>
    <row r="41" spans="2:7" ht="15" customHeight="1" x14ac:dyDescent="0.2">
      <c r="B41" s="58"/>
      <c r="C41" s="58"/>
      <c r="D41" s="162">
        <v>2018</v>
      </c>
      <c r="E41" s="158">
        <f>SUM(F41:G41)</f>
        <v>409</v>
      </c>
      <c r="F41" s="151">
        <v>54</v>
      </c>
      <c r="G41" s="167">
        <v>355</v>
      </c>
    </row>
    <row r="42" spans="2:7" ht="8.1" customHeight="1" x14ac:dyDescent="0.2">
      <c r="B42" s="58"/>
      <c r="C42" s="58"/>
      <c r="D42" s="162"/>
      <c r="E42" s="158"/>
      <c r="F42" s="54"/>
      <c r="G42" s="167"/>
    </row>
    <row r="43" spans="2:7" ht="15" customHeight="1" x14ac:dyDescent="0.2">
      <c r="B43" s="58" t="s">
        <v>64</v>
      </c>
      <c r="C43" s="58"/>
      <c r="D43" s="162">
        <v>2016</v>
      </c>
      <c r="E43" s="158">
        <f>SUM(F43:G43)</f>
        <v>106</v>
      </c>
      <c r="F43" s="153">
        <v>25</v>
      </c>
      <c r="G43" s="167">
        <v>81</v>
      </c>
    </row>
    <row r="44" spans="2:7" ht="15" customHeight="1" x14ac:dyDescent="0.2">
      <c r="B44" s="58"/>
      <c r="C44" s="58"/>
      <c r="D44" s="162">
        <v>2017</v>
      </c>
      <c r="E44" s="158">
        <f>SUM(F44:G44)</f>
        <v>121</v>
      </c>
      <c r="F44" s="153">
        <v>21</v>
      </c>
      <c r="G44" s="167">
        <v>100</v>
      </c>
    </row>
    <row r="45" spans="2:7" ht="15" customHeight="1" x14ac:dyDescent="0.2">
      <c r="B45" s="58"/>
      <c r="C45" s="58"/>
      <c r="D45" s="162">
        <v>2018</v>
      </c>
      <c r="E45" s="158">
        <f>SUM(F45:G45)</f>
        <v>116</v>
      </c>
      <c r="F45" s="153">
        <v>26</v>
      </c>
      <c r="G45" s="167">
        <v>90</v>
      </c>
    </row>
    <row r="46" spans="2:7" ht="8.1" customHeight="1" x14ac:dyDescent="0.2">
      <c r="B46" s="58"/>
      <c r="C46" s="58"/>
      <c r="D46" s="162"/>
      <c r="E46" s="158"/>
      <c r="F46" s="54"/>
      <c r="G46" s="167"/>
    </row>
    <row r="47" spans="2:7" ht="15" customHeight="1" x14ac:dyDescent="0.2">
      <c r="B47" s="58" t="s">
        <v>65</v>
      </c>
      <c r="C47" s="58"/>
      <c r="D47" s="162">
        <v>2016</v>
      </c>
      <c r="E47" s="158">
        <f>SUM(F47:G47)</f>
        <v>244</v>
      </c>
      <c r="F47" s="154">
        <v>50</v>
      </c>
      <c r="G47" s="167">
        <v>194</v>
      </c>
    </row>
    <row r="48" spans="2:7" ht="15" customHeight="1" x14ac:dyDescent="0.2">
      <c r="B48" s="58"/>
      <c r="C48" s="58"/>
      <c r="D48" s="162">
        <v>2017</v>
      </c>
      <c r="E48" s="158">
        <f>SUM(F48:G48)</f>
        <v>237</v>
      </c>
      <c r="F48" s="154">
        <v>29</v>
      </c>
      <c r="G48" s="167">
        <v>208</v>
      </c>
    </row>
    <row r="49" spans="1:13" ht="15" customHeight="1" x14ac:dyDescent="0.2">
      <c r="B49" s="58"/>
      <c r="C49" s="58"/>
      <c r="D49" s="162">
        <v>2018</v>
      </c>
      <c r="E49" s="158">
        <f>SUM(F49:G49)</f>
        <v>237</v>
      </c>
      <c r="F49" s="154">
        <v>29</v>
      </c>
      <c r="G49" s="167">
        <v>208</v>
      </c>
    </row>
    <row r="50" spans="1:13" ht="8.1" customHeight="1" x14ac:dyDescent="0.2">
      <c r="B50" s="58"/>
      <c r="C50" s="58"/>
      <c r="D50" s="162"/>
      <c r="E50" s="158"/>
      <c r="F50" s="54"/>
      <c r="G50" s="167"/>
    </row>
    <row r="51" spans="1:13" s="7" customFormat="1" ht="15" customHeight="1" x14ac:dyDescent="0.2">
      <c r="B51" s="58" t="s">
        <v>66</v>
      </c>
      <c r="C51" s="58"/>
      <c r="D51" s="162">
        <v>2016</v>
      </c>
      <c r="E51" s="158">
        <f>SUM(F51:G51)</f>
        <v>106</v>
      </c>
      <c r="F51" s="156">
        <v>20</v>
      </c>
      <c r="G51" s="167">
        <v>86</v>
      </c>
      <c r="M51" s="2"/>
    </row>
    <row r="52" spans="1:13" s="7" customFormat="1" ht="15" customHeight="1" x14ac:dyDescent="0.2">
      <c r="B52" s="58"/>
      <c r="C52" s="58"/>
      <c r="D52" s="162">
        <v>2017</v>
      </c>
      <c r="E52" s="158">
        <f>SUM(F52:G52)</f>
        <v>66</v>
      </c>
      <c r="F52" s="155">
        <v>11</v>
      </c>
      <c r="G52" s="167">
        <v>55</v>
      </c>
      <c r="M52" s="2"/>
    </row>
    <row r="53" spans="1:13" s="7" customFormat="1" ht="15" customHeight="1" x14ac:dyDescent="0.2">
      <c r="B53" s="58"/>
      <c r="C53" s="58"/>
      <c r="D53" s="162">
        <v>2018</v>
      </c>
      <c r="E53" s="158">
        <f>SUM(F53:G53)</f>
        <v>70</v>
      </c>
      <c r="F53" s="156">
        <v>6</v>
      </c>
      <c r="G53" s="167">
        <v>64</v>
      </c>
      <c r="M53" s="2"/>
    </row>
    <row r="54" spans="1:13" s="7" customFormat="1" ht="8.1" customHeight="1" x14ac:dyDescent="0.2">
      <c r="B54" s="58"/>
      <c r="C54" s="58"/>
      <c r="D54" s="162"/>
      <c r="E54" s="158"/>
      <c r="F54" s="54"/>
      <c r="G54" s="167"/>
      <c r="M54" s="2"/>
    </row>
    <row r="55" spans="1:13" s="7" customFormat="1" ht="15" customHeight="1" x14ac:dyDescent="0.2">
      <c r="B55" s="58" t="s">
        <v>67</v>
      </c>
      <c r="C55" s="58"/>
      <c r="D55" s="162">
        <v>2016</v>
      </c>
      <c r="E55" s="158">
        <f>SUM(F55:G55)</f>
        <v>146</v>
      </c>
      <c r="F55" s="160">
        <v>20</v>
      </c>
      <c r="G55" s="167">
        <v>126</v>
      </c>
      <c r="M55" s="2"/>
    </row>
    <row r="56" spans="1:13" s="7" customFormat="1" ht="15" customHeight="1" x14ac:dyDescent="0.2">
      <c r="B56" s="58"/>
      <c r="C56" s="58"/>
      <c r="D56" s="162">
        <v>2017</v>
      </c>
      <c r="E56" s="158">
        <f>SUM(F56:G56)</f>
        <v>140</v>
      </c>
      <c r="F56" s="159">
        <v>17</v>
      </c>
      <c r="G56" s="167">
        <v>123</v>
      </c>
      <c r="M56" s="2"/>
    </row>
    <row r="57" spans="1:13" s="7" customFormat="1" ht="15" customHeight="1" x14ac:dyDescent="0.2">
      <c r="B57" s="58"/>
      <c r="C57" s="58"/>
      <c r="D57" s="162">
        <v>2018</v>
      </c>
      <c r="E57" s="158">
        <f>SUM(F57:G57)</f>
        <v>155</v>
      </c>
      <c r="F57" s="160">
        <v>13</v>
      </c>
      <c r="G57" s="167">
        <v>142</v>
      </c>
      <c r="M57" s="2"/>
    </row>
    <row r="58" spans="1:13" s="7" customFormat="1" ht="8.1" customHeight="1" thickBot="1" x14ac:dyDescent="0.25">
      <c r="A58" s="34"/>
      <c r="B58" s="60"/>
      <c r="C58" s="60"/>
      <c r="D58" s="141"/>
      <c r="E58" s="73"/>
      <c r="F58" s="72"/>
      <c r="G58" s="61"/>
      <c r="H58" s="34"/>
      <c r="M58" s="2"/>
    </row>
    <row r="59" spans="1:13" x14ac:dyDescent="0.25">
      <c r="D59" s="133"/>
      <c r="G59" s="175" t="s">
        <v>101</v>
      </c>
    </row>
    <row r="60" spans="1:13" x14ac:dyDescent="0.25">
      <c r="D60" s="133"/>
      <c r="G60" s="176" t="s">
        <v>1</v>
      </c>
    </row>
    <row r="61" spans="1:13" x14ac:dyDescent="0.25">
      <c r="D61" s="133"/>
    </row>
    <row r="62" spans="1:13" x14ac:dyDescent="0.25">
      <c r="D62" s="133"/>
    </row>
    <row r="63" spans="1:13" x14ac:dyDescent="0.25">
      <c r="D63" s="133"/>
    </row>
    <row r="64" spans="1:13" x14ac:dyDescent="0.25">
      <c r="D64" s="133"/>
    </row>
    <row r="65" spans="4:4" x14ac:dyDescent="0.25">
      <c r="D65" s="133"/>
    </row>
    <row r="66" spans="4:4" x14ac:dyDescent="0.25">
      <c r="D66" s="133"/>
    </row>
    <row r="67" spans="4:4" x14ac:dyDescent="0.25">
      <c r="D67" s="133"/>
    </row>
    <row r="68" spans="4:4" x14ac:dyDescent="0.25">
      <c r="D68" s="133"/>
    </row>
    <row r="69" spans="4:4" x14ac:dyDescent="0.25">
      <c r="D69" s="133"/>
    </row>
  </sheetData>
  <mergeCells count="7">
    <mergeCell ref="C6:G6"/>
    <mergeCell ref="E10:G10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8"/>
  <sheetViews>
    <sheetView showGridLines="0" tabSelected="1" topLeftCell="A31" zoomScaleNormal="100" zoomScaleSheetLayoutView="100" workbookViewId="0">
      <selection activeCell="J23" sqref="J23"/>
    </sheetView>
  </sheetViews>
  <sheetFormatPr defaultRowHeight="15" x14ac:dyDescent="0.25"/>
  <cols>
    <col min="1" max="1" width="1.7109375" style="2" customWidth="1"/>
    <col min="2" max="2" width="10.42578125" style="3" customWidth="1"/>
    <col min="3" max="3" width="6.7109375" style="3" customWidth="1"/>
    <col min="4" max="4" width="10.140625" style="3" customWidth="1"/>
    <col min="5" max="5" width="10.85546875" style="4" customWidth="1"/>
    <col min="6" max="7" width="11.7109375" style="5" customWidth="1"/>
    <col min="8" max="8" width="11.7109375" style="209" customWidth="1"/>
    <col min="9" max="9" width="12.28515625" style="5" customWidth="1"/>
    <col min="10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85"/>
      <c r="E12" s="286"/>
      <c r="F12" s="287"/>
      <c r="G12" s="286"/>
      <c r="H12" s="286"/>
      <c r="I12" s="286"/>
      <c r="J12" s="287"/>
      <c r="K12" s="286"/>
    </row>
    <row r="13" spans="1:12" s="288" customFormat="1" ht="12.95" customHeight="1" x14ac:dyDescent="0.2">
      <c r="A13" s="105"/>
      <c r="B13" s="64" t="s">
        <v>176</v>
      </c>
      <c r="C13" s="127"/>
      <c r="D13" s="65">
        <v>2016</v>
      </c>
      <c r="E13" s="166">
        <v>4546</v>
      </c>
      <c r="F13" s="166">
        <v>915</v>
      </c>
      <c r="G13" s="166">
        <v>118</v>
      </c>
      <c r="H13" s="166">
        <v>386</v>
      </c>
      <c r="I13" s="166">
        <v>2112</v>
      </c>
      <c r="J13" s="166">
        <v>60</v>
      </c>
      <c r="K13" s="166">
        <v>955</v>
      </c>
    </row>
    <row r="14" spans="1:12" s="288" customFormat="1" ht="12.95" customHeight="1" x14ac:dyDescent="0.2">
      <c r="A14" s="105"/>
      <c r="B14" s="127"/>
      <c r="C14" s="127"/>
      <c r="D14" s="65">
        <v>2017</v>
      </c>
      <c r="E14" s="166">
        <v>4186</v>
      </c>
      <c r="F14" s="166">
        <v>859</v>
      </c>
      <c r="G14" s="166">
        <v>81</v>
      </c>
      <c r="H14" s="166">
        <v>321</v>
      </c>
      <c r="I14" s="166">
        <v>1912</v>
      </c>
      <c r="J14" s="166">
        <v>10</v>
      </c>
      <c r="K14" s="166">
        <v>1003</v>
      </c>
    </row>
    <row r="15" spans="1:12" s="288" customFormat="1" ht="12.95" customHeight="1" x14ac:dyDescent="0.2">
      <c r="A15" s="105"/>
      <c r="B15" s="127"/>
      <c r="C15" s="127"/>
      <c r="D15" s="65">
        <v>2018</v>
      </c>
      <c r="E15" s="166">
        <v>4123</v>
      </c>
      <c r="F15" s="166">
        <v>1023</v>
      </c>
      <c r="G15" s="166">
        <v>101</v>
      </c>
      <c r="H15" s="166">
        <v>286</v>
      </c>
      <c r="I15" s="166">
        <v>1672</v>
      </c>
      <c r="J15" s="166">
        <v>9</v>
      </c>
      <c r="K15" s="166">
        <v>1032</v>
      </c>
    </row>
    <row r="16" spans="1:12" s="18" customFormat="1" ht="8.1" customHeight="1" x14ac:dyDescent="0.2">
      <c r="A16" s="53"/>
      <c r="B16" s="127"/>
      <c r="C16" s="127"/>
      <c r="D16" s="65"/>
      <c r="E16" s="166"/>
      <c r="F16" s="166"/>
      <c r="G16" s="166"/>
      <c r="H16" s="166"/>
      <c r="I16" s="166"/>
      <c r="J16" s="166"/>
      <c r="K16" s="166"/>
    </row>
    <row r="17" spans="1:14" s="19" customFormat="1" ht="12.95" customHeight="1" x14ac:dyDescent="0.2">
      <c r="A17" s="53"/>
      <c r="B17" s="58" t="s">
        <v>69</v>
      </c>
      <c r="C17" s="85"/>
      <c r="D17" s="162">
        <v>2016</v>
      </c>
      <c r="E17" s="167">
        <v>92</v>
      </c>
      <c r="F17" s="167">
        <v>27</v>
      </c>
      <c r="G17" s="167">
        <v>1</v>
      </c>
      <c r="H17" s="167">
        <v>9</v>
      </c>
      <c r="I17" s="167">
        <v>35</v>
      </c>
      <c r="J17" s="167">
        <v>1</v>
      </c>
      <c r="K17" s="167">
        <v>19</v>
      </c>
    </row>
    <row r="18" spans="1:14" s="19" customFormat="1" ht="12.95" customHeight="1" x14ac:dyDescent="0.2">
      <c r="A18" s="119"/>
      <c r="B18" s="58"/>
      <c r="C18" s="85"/>
      <c r="D18" s="162">
        <v>2017</v>
      </c>
      <c r="E18" s="167">
        <v>68</v>
      </c>
      <c r="F18" s="167">
        <v>17</v>
      </c>
      <c r="G18" s="167">
        <v>4</v>
      </c>
      <c r="H18" s="167">
        <v>4</v>
      </c>
      <c r="I18" s="167">
        <v>23</v>
      </c>
      <c r="J18" s="167">
        <v>1</v>
      </c>
      <c r="K18" s="167">
        <v>19</v>
      </c>
    </row>
    <row r="19" spans="1:14" s="19" customFormat="1" ht="12.95" customHeight="1" x14ac:dyDescent="0.2">
      <c r="A19" s="119"/>
      <c r="B19" s="58"/>
      <c r="C19" s="85"/>
      <c r="D19" s="162">
        <v>2018</v>
      </c>
      <c r="E19" s="167">
        <v>75</v>
      </c>
      <c r="F19" s="167">
        <v>18</v>
      </c>
      <c r="G19" s="167">
        <v>3</v>
      </c>
      <c r="H19" s="167">
        <v>3</v>
      </c>
      <c r="I19" s="167">
        <v>34</v>
      </c>
      <c r="J19" s="167" t="s">
        <v>51</v>
      </c>
      <c r="K19" s="167">
        <v>17</v>
      </c>
    </row>
    <row r="20" spans="1:14" s="19" customFormat="1" ht="8.1" customHeight="1" x14ac:dyDescent="0.2">
      <c r="A20" s="119"/>
      <c r="B20" s="58"/>
      <c r="C20" s="85"/>
      <c r="D20" s="162"/>
      <c r="E20" s="167"/>
      <c r="F20" s="167"/>
      <c r="G20" s="167"/>
      <c r="H20" s="167"/>
      <c r="I20" s="167"/>
      <c r="J20" s="167"/>
      <c r="K20" s="167"/>
    </row>
    <row r="21" spans="1:14" s="19" customFormat="1" ht="12.95" customHeight="1" x14ac:dyDescent="0.2">
      <c r="A21" s="53"/>
      <c r="B21" s="58" t="s">
        <v>70</v>
      </c>
      <c r="C21" s="85"/>
      <c r="D21" s="162">
        <v>2016</v>
      </c>
      <c r="E21" s="167">
        <v>71</v>
      </c>
      <c r="F21" s="167">
        <v>10</v>
      </c>
      <c r="G21" s="165">
        <v>1</v>
      </c>
      <c r="H21" s="167">
        <v>8</v>
      </c>
      <c r="I21" s="167">
        <v>36</v>
      </c>
      <c r="J21" s="165">
        <v>1</v>
      </c>
      <c r="K21" s="167">
        <v>15</v>
      </c>
    </row>
    <row r="22" spans="1:14" s="19" customFormat="1" ht="12.95" customHeight="1" x14ac:dyDescent="0.2">
      <c r="A22" s="53"/>
      <c r="B22" s="58"/>
      <c r="C22" s="85"/>
      <c r="D22" s="162">
        <v>2017</v>
      </c>
      <c r="E22" s="167">
        <v>62</v>
      </c>
      <c r="F22" s="167">
        <v>12</v>
      </c>
      <c r="G22" s="167">
        <v>1</v>
      </c>
      <c r="H22" s="167">
        <v>6</v>
      </c>
      <c r="I22" s="167">
        <v>27</v>
      </c>
      <c r="J22" s="167" t="s">
        <v>51</v>
      </c>
      <c r="K22" s="167">
        <v>16</v>
      </c>
    </row>
    <row r="23" spans="1:14" s="99" customFormat="1" ht="12.95" customHeight="1" x14ac:dyDescent="0.2">
      <c r="A23" s="119"/>
      <c r="B23" s="58"/>
      <c r="C23" s="85"/>
      <c r="D23" s="162">
        <v>2018</v>
      </c>
      <c r="E23" s="167">
        <v>54</v>
      </c>
      <c r="F23" s="167">
        <v>18</v>
      </c>
      <c r="G23" s="167">
        <v>1</v>
      </c>
      <c r="H23" s="167">
        <v>1</v>
      </c>
      <c r="I23" s="167">
        <v>19</v>
      </c>
      <c r="J23" s="167" t="s">
        <v>51</v>
      </c>
      <c r="K23" s="167">
        <v>15</v>
      </c>
      <c r="L23" s="19"/>
      <c r="M23" s="19"/>
      <c r="N23" s="19"/>
    </row>
    <row r="24" spans="1:14" s="99" customFormat="1" ht="8.1" customHeight="1" x14ac:dyDescent="0.2">
      <c r="A24" s="119"/>
      <c r="B24" s="58"/>
      <c r="C24" s="85"/>
      <c r="D24" s="162"/>
      <c r="E24" s="167"/>
      <c r="F24" s="167"/>
      <c r="G24" s="167"/>
      <c r="H24" s="167"/>
      <c r="I24" s="167"/>
      <c r="J24" s="167"/>
      <c r="K24" s="167"/>
      <c r="L24" s="19"/>
      <c r="M24" s="19"/>
      <c r="N24" s="19"/>
    </row>
    <row r="25" spans="1:14" s="19" customFormat="1" ht="12.95" customHeight="1" x14ac:dyDescent="0.2">
      <c r="A25" s="119"/>
      <c r="B25" s="58" t="s">
        <v>46</v>
      </c>
      <c r="C25" s="85"/>
      <c r="D25" s="162">
        <v>2016</v>
      </c>
      <c r="E25" s="167">
        <v>462</v>
      </c>
      <c r="F25" s="167">
        <v>157</v>
      </c>
      <c r="G25" s="167">
        <v>9</v>
      </c>
      <c r="H25" s="167">
        <v>25</v>
      </c>
      <c r="I25" s="167">
        <v>164</v>
      </c>
      <c r="J25" s="167">
        <v>10</v>
      </c>
      <c r="K25" s="167">
        <v>97</v>
      </c>
    </row>
    <row r="26" spans="1:14" s="19" customFormat="1" ht="12.95" customHeight="1" x14ac:dyDescent="0.2">
      <c r="A26" s="53"/>
      <c r="B26" s="58"/>
      <c r="C26" s="85"/>
      <c r="D26" s="162">
        <v>2017</v>
      </c>
      <c r="E26" s="167">
        <v>432</v>
      </c>
      <c r="F26" s="167">
        <v>133</v>
      </c>
      <c r="G26" s="167">
        <v>4</v>
      </c>
      <c r="H26" s="167">
        <v>18</v>
      </c>
      <c r="I26" s="167">
        <v>112</v>
      </c>
      <c r="J26" s="167">
        <v>2</v>
      </c>
      <c r="K26" s="167">
        <v>163</v>
      </c>
    </row>
    <row r="27" spans="1:14" s="19" customFormat="1" ht="12.95" customHeight="1" x14ac:dyDescent="0.2">
      <c r="A27" s="53"/>
      <c r="B27" s="58"/>
      <c r="C27" s="85"/>
      <c r="D27" s="162">
        <v>2018</v>
      </c>
      <c r="E27" s="167">
        <v>447</v>
      </c>
      <c r="F27" s="167">
        <v>153</v>
      </c>
      <c r="G27" s="167">
        <v>4</v>
      </c>
      <c r="H27" s="167">
        <v>19</v>
      </c>
      <c r="I27" s="167">
        <v>108</v>
      </c>
      <c r="J27" s="167" t="s">
        <v>51</v>
      </c>
      <c r="K27" s="167">
        <v>163</v>
      </c>
    </row>
    <row r="28" spans="1:14" s="19" customFormat="1" ht="8.1" customHeight="1" x14ac:dyDescent="0.2">
      <c r="A28" s="53"/>
      <c r="B28" s="58"/>
      <c r="C28" s="85"/>
      <c r="D28" s="162"/>
      <c r="E28" s="117"/>
      <c r="F28" s="412"/>
      <c r="G28" s="412"/>
      <c r="H28" s="412"/>
      <c r="I28" s="412"/>
      <c r="J28" s="412"/>
      <c r="K28" s="412"/>
    </row>
    <row r="29" spans="1:14" s="19" customFormat="1" ht="12.95" customHeight="1" x14ac:dyDescent="0.2">
      <c r="A29" s="53"/>
      <c r="B29" s="58" t="s">
        <v>71</v>
      </c>
      <c r="C29" s="85"/>
      <c r="D29" s="162">
        <v>2016</v>
      </c>
      <c r="E29" s="167">
        <v>1693</v>
      </c>
      <c r="F29" s="167">
        <v>350</v>
      </c>
      <c r="G29" s="167">
        <v>60</v>
      </c>
      <c r="H29" s="167">
        <v>202</v>
      </c>
      <c r="I29" s="167">
        <v>752</v>
      </c>
      <c r="J29" s="167">
        <v>6</v>
      </c>
      <c r="K29" s="167">
        <v>323</v>
      </c>
    </row>
    <row r="30" spans="1:14" s="19" customFormat="1" ht="12.95" customHeight="1" x14ac:dyDescent="0.2">
      <c r="A30" s="53"/>
      <c r="B30" s="58"/>
      <c r="C30" s="85"/>
      <c r="D30" s="162">
        <v>2017</v>
      </c>
      <c r="E30" s="167">
        <v>1631</v>
      </c>
      <c r="F30" s="167">
        <v>294</v>
      </c>
      <c r="G30" s="167">
        <v>48</v>
      </c>
      <c r="H30" s="167">
        <v>182</v>
      </c>
      <c r="I30" s="167">
        <v>786</v>
      </c>
      <c r="J30" s="167">
        <v>1</v>
      </c>
      <c r="K30" s="167">
        <v>320</v>
      </c>
    </row>
    <row r="31" spans="1:14" s="19" customFormat="1" ht="12.95" customHeight="1" x14ac:dyDescent="0.2">
      <c r="A31" s="119"/>
      <c r="B31" s="58"/>
      <c r="C31" s="85"/>
      <c r="D31" s="162">
        <v>2018</v>
      </c>
      <c r="E31" s="167">
        <v>1587</v>
      </c>
      <c r="F31" s="167">
        <v>389</v>
      </c>
      <c r="G31" s="167">
        <v>59</v>
      </c>
      <c r="H31" s="167">
        <v>163</v>
      </c>
      <c r="I31" s="167">
        <v>596</v>
      </c>
      <c r="J31" s="167">
        <v>1</v>
      </c>
      <c r="K31" s="167">
        <v>379</v>
      </c>
    </row>
    <row r="32" spans="1:14" s="19" customFormat="1" ht="8.1" customHeight="1" x14ac:dyDescent="0.2">
      <c r="A32" s="119"/>
      <c r="B32" s="58"/>
      <c r="C32" s="85"/>
      <c r="D32" s="162"/>
      <c r="E32" s="167"/>
      <c r="F32" s="167"/>
      <c r="G32" s="167"/>
      <c r="H32" s="167"/>
      <c r="I32" s="167"/>
      <c r="J32" s="167"/>
      <c r="K32" s="167"/>
    </row>
    <row r="33" spans="1:11" s="19" customFormat="1" ht="12.95" customHeight="1" x14ac:dyDescent="0.2">
      <c r="A33" s="53"/>
      <c r="B33" s="58" t="s">
        <v>48</v>
      </c>
      <c r="C33" s="85"/>
      <c r="D33" s="162">
        <v>2016</v>
      </c>
      <c r="E33" s="167">
        <v>154</v>
      </c>
      <c r="F33" s="165">
        <v>32</v>
      </c>
      <c r="G33" s="165">
        <v>6</v>
      </c>
      <c r="H33" s="167">
        <v>13</v>
      </c>
      <c r="I33" s="165">
        <v>57</v>
      </c>
      <c r="J33" s="167">
        <v>5</v>
      </c>
      <c r="K33" s="167">
        <v>41</v>
      </c>
    </row>
    <row r="34" spans="1:11" s="19" customFormat="1" ht="12.95" customHeight="1" x14ac:dyDescent="0.2">
      <c r="A34" s="53"/>
      <c r="B34" s="58"/>
      <c r="C34" s="85"/>
      <c r="D34" s="162">
        <v>2017</v>
      </c>
      <c r="E34" s="167">
        <v>146</v>
      </c>
      <c r="F34" s="167">
        <v>32</v>
      </c>
      <c r="G34" s="167">
        <v>1</v>
      </c>
      <c r="H34" s="167">
        <v>13</v>
      </c>
      <c r="I34" s="167">
        <v>58</v>
      </c>
      <c r="J34" s="167">
        <v>1</v>
      </c>
      <c r="K34" s="167">
        <v>41</v>
      </c>
    </row>
    <row r="35" spans="1:11" s="19" customFormat="1" ht="12.95" customHeight="1" x14ac:dyDescent="0.2">
      <c r="A35" s="119"/>
      <c r="B35" s="58"/>
      <c r="C35" s="85"/>
      <c r="D35" s="162">
        <v>2018</v>
      </c>
      <c r="E35" s="167">
        <v>160</v>
      </c>
      <c r="F35" s="165">
        <v>35</v>
      </c>
      <c r="G35" s="165">
        <v>2</v>
      </c>
      <c r="H35" s="167">
        <v>3</v>
      </c>
      <c r="I35" s="165">
        <v>68</v>
      </c>
      <c r="J35" s="167" t="s">
        <v>51</v>
      </c>
      <c r="K35" s="167">
        <v>52</v>
      </c>
    </row>
    <row r="36" spans="1:11" s="19" customFormat="1" ht="8.1" customHeight="1" x14ac:dyDescent="0.2">
      <c r="A36" s="119"/>
      <c r="B36" s="58"/>
      <c r="C36" s="85"/>
      <c r="D36" s="162"/>
      <c r="E36" s="167"/>
      <c r="F36" s="165"/>
      <c r="G36" s="165"/>
      <c r="H36" s="167"/>
      <c r="I36" s="165"/>
      <c r="J36" s="167"/>
      <c r="K36" s="167"/>
    </row>
    <row r="37" spans="1:11" s="19" customFormat="1" ht="12.95" customHeight="1" x14ac:dyDescent="0.2">
      <c r="A37" s="53"/>
      <c r="B37" s="58" t="s">
        <v>44</v>
      </c>
      <c r="C37" s="85"/>
      <c r="D37" s="162">
        <v>2016</v>
      </c>
      <c r="E37" s="167">
        <v>178</v>
      </c>
      <c r="F37" s="167">
        <v>15</v>
      </c>
      <c r="G37" s="167">
        <v>3</v>
      </c>
      <c r="H37" s="167">
        <v>10</v>
      </c>
      <c r="I37" s="167">
        <v>120</v>
      </c>
      <c r="J37" s="167">
        <v>3</v>
      </c>
      <c r="K37" s="167">
        <v>27</v>
      </c>
    </row>
    <row r="38" spans="1:11" s="19" customFormat="1" ht="12.95" customHeight="1" x14ac:dyDescent="0.2">
      <c r="A38" s="53"/>
      <c r="B38" s="58"/>
      <c r="C38" s="85"/>
      <c r="D38" s="162">
        <v>2017</v>
      </c>
      <c r="E38" s="167">
        <v>156</v>
      </c>
      <c r="F38" s="167">
        <v>38</v>
      </c>
      <c r="G38" s="167">
        <v>2</v>
      </c>
      <c r="H38" s="167">
        <v>9</v>
      </c>
      <c r="I38" s="167">
        <v>86</v>
      </c>
      <c r="J38" s="167">
        <v>2</v>
      </c>
      <c r="K38" s="167">
        <v>19</v>
      </c>
    </row>
    <row r="39" spans="1:11" s="19" customFormat="1" ht="12.95" customHeight="1" x14ac:dyDescent="0.2">
      <c r="A39" s="119"/>
      <c r="B39" s="58"/>
      <c r="C39" s="85"/>
      <c r="D39" s="162">
        <v>2018</v>
      </c>
      <c r="E39" s="167">
        <v>155</v>
      </c>
      <c r="F39" s="167">
        <v>25</v>
      </c>
      <c r="G39" s="167">
        <v>5</v>
      </c>
      <c r="H39" s="167">
        <v>6</v>
      </c>
      <c r="I39" s="167">
        <v>98</v>
      </c>
      <c r="J39" s="167" t="s">
        <v>51</v>
      </c>
      <c r="K39" s="167">
        <v>21</v>
      </c>
    </row>
    <row r="40" spans="1:11" s="19" customFormat="1" ht="8.1" customHeight="1" x14ac:dyDescent="0.2">
      <c r="A40" s="119"/>
      <c r="B40" s="58"/>
      <c r="C40" s="85"/>
      <c r="D40" s="162"/>
      <c r="E40" s="167"/>
      <c r="F40" s="167"/>
      <c r="G40" s="167"/>
      <c r="H40" s="167"/>
      <c r="I40" s="167"/>
      <c r="J40" s="167"/>
      <c r="K40" s="167"/>
    </row>
    <row r="41" spans="1:11" s="19" customFormat="1" ht="12.95" customHeight="1" x14ac:dyDescent="0.2">
      <c r="A41" s="53"/>
      <c r="B41" s="58" t="s">
        <v>45</v>
      </c>
      <c r="C41" s="85"/>
      <c r="D41" s="162">
        <v>2016</v>
      </c>
      <c r="E41" s="167">
        <v>144</v>
      </c>
      <c r="F41" s="167">
        <v>38</v>
      </c>
      <c r="G41" s="167">
        <v>1</v>
      </c>
      <c r="H41" s="167">
        <v>9</v>
      </c>
      <c r="I41" s="167">
        <v>65</v>
      </c>
      <c r="J41" s="167">
        <v>1</v>
      </c>
      <c r="K41" s="167">
        <v>30</v>
      </c>
    </row>
    <row r="42" spans="1:11" s="19" customFormat="1" ht="12.95" customHeight="1" x14ac:dyDescent="0.2">
      <c r="A42" s="53"/>
      <c r="B42" s="58"/>
      <c r="C42" s="85"/>
      <c r="D42" s="162">
        <v>2017</v>
      </c>
      <c r="E42" s="167">
        <v>118</v>
      </c>
      <c r="F42" s="167">
        <v>22</v>
      </c>
      <c r="G42" s="167" t="s">
        <v>51</v>
      </c>
      <c r="H42" s="167">
        <v>5</v>
      </c>
      <c r="I42" s="167">
        <v>66</v>
      </c>
      <c r="J42" s="167">
        <v>2</v>
      </c>
      <c r="K42" s="167">
        <v>23</v>
      </c>
    </row>
    <row r="43" spans="1:11" s="19" customFormat="1" ht="12.95" customHeight="1" x14ac:dyDescent="0.2">
      <c r="A43" s="119"/>
      <c r="B43" s="58"/>
      <c r="C43" s="85"/>
      <c r="D43" s="162">
        <v>2018</v>
      </c>
      <c r="E43" s="167">
        <v>96</v>
      </c>
      <c r="F43" s="167">
        <v>17</v>
      </c>
      <c r="G43" s="167" t="s">
        <v>51</v>
      </c>
      <c r="H43" s="167">
        <v>2</v>
      </c>
      <c r="I43" s="167">
        <v>49</v>
      </c>
      <c r="J43" s="167">
        <v>2</v>
      </c>
      <c r="K43" s="167">
        <v>26</v>
      </c>
    </row>
    <row r="44" spans="1:11" s="19" customFormat="1" ht="8.1" customHeight="1" x14ac:dyDescent="0.2">
      <c r="A44" s="119"/>
      <c r="B44" s="58"/>
      <c r="C44" s="85"/>
      <c r="D44" s="162"/>
      <c r="E44" s="167"/>
      <c r="F44" s="167"/>
      <c r="G44" s="167"/>
      <c r="H44" s="167"/>
      <c r="I44" s="167"/>
      <c r="J44" s="167"/>
      <c r="K44" s="167"/>
    </row>
    <row r="45" spans="1:11" s="19" customFormat="1" ht="12.95" customHeight="1" x14ac:dyDescent="0.2">
      <c r="A45" s="53"/>
      <c r="B45" s="58" t="s">
        <v>43</v>
      </c>
      <c r="C45" s="85"/>
      <c r="D45" s="162">
        <v>2016</v>
      </c>
      <c r="E45" s="167">
        <v>574</v>
      </c>
      <c r="F45" s="167">
        <v>60</v>
      </c>
      <c r="G45" s="167">
        <v>9</v>
      </c>
      <c r="H45" s="167">
        <v>43</v>
      </c>
      <c r="I45" s="167">
        <v>373</v>
      </c>
      <c r="J45" s="165">
        <v>1</v>
      </c>
      <c r="K45" s="167">
        <v>88</v>
      </c>
    </row>
    <row r="46" spans="1:11" s="19" customFormat="1" ht="12.95" customHeight="1" x14ac:dyDescent="0.2">
      <c r="A46" s="53"/>
      <c r="B46" s="58"/>
      <c r="C46" s="85"/>
      <c r="D46" s="162">
        <v>2017</v>
      </c>
      <c r="E46" s="167">
        <v>506</v>
      </c>
      <c r="F46" s="167">
        <v>82</v>
      </c>
      <c r="G46" s="167">
        <v>4</v>
      </c>
      <c r="H46" s="167">
        <v>31</v>
      </c>
      <c r="I46" s="167">
        <v>301</v>
      </c>
      <c r="J46" s="167">
        <v>1</v>
      </c>
      <c r="K46" s="167">
        <v>87</v>
      </c>
    </row>
    <row r="47" spans="1:11" s="19" customFormat="1" ht="12.95" customHeight="1" x14ac:dyDescent="0.2">
      <c r="A47" s="119"/>
      <c r="B47" s="58"/>
      <c r="C47" s="85"/>
      <c r="D47" s="162">
        <v>2018</v>
      </c>
      <c r="E47" s="167">
        <v>515</v>
      </c>
      <c r="F47" s="167">
        <v>100</v>
      </c>
      <c r="G47" s="167">
        <v>8</v>
      </c>
      <c r="H47" s="167">
        <v>32</v>
      </c>
      <c r="I47" s="167">
        <v>254</v>
      </c>
      <c r="J47" s="167">
        <v>2</v>
      </c>
      <c r="K47" s="167">
        <v>119</v>
      </c>
    </row>
    <row r="48" spans="1:11" s="19" customFormat="1" ht="8.1" customHeight="1" x14ac:dyDescent="0.2">
      <c r="A48" s="119"/>
      <c r="B48" s="58"/>
      <c r="C48" s="85"/>
      <c r="D48" s="162"/>
      <c r="E48" s="167"/>
      <c r="F48" s="167"/>
      <c r="G48" s="167"/>
      <c r="H48" s="167"/>
      <c r="I48" s="167"/>
      <c r="J48" s="167"/>
      <c r="K48" s="167"/>
    </row>
    <row r="49" spans="1:11" s="18" customFormat="1" ht="12.95" customHeight="1" x14ac:dyDescent="0.2">
      <c r="A49" s="53"/>
      <c r="B49" s="58" t="s">
        <v>72</v>
      </c>
      <c r="C49" s="85"/>
      <c r="D49" s="162">
        <v>2016</v>
      </c>
      <c r="E49" s="167">
        <v>26</v>
      </c>
      <c r="F49" s="167">
        <v>3</v>
      </c>
      <c r="G49" s="165" t="s">
        <v>51</v>
      </c>
      <c r="H49" s="165" t="s">
        <v>51</v>
      </c>
      <c r="I49" s="167">
        <v>14</v>
      </c>
      <c r="J49" s="167" t="s">
        <v>51</v>
      </c>
      <c r="K49" s="167">
        <v>9</v>
      </c>
    </row>
    <row r="50" spans="1:11" s="18" customFormat="1" ht="12.95" customHeight="1" x14ac:dyDescent="0.2">
      <c r="A50" s="53"/>
      <c r="B50" s="58"/>
      <c r="C50" s="85"/>
      <c r="D50" s="162">
        <v>2017</v>
      </c>
      <c r="E50" s="167">
        <v>13</v>
      </c>
      <c r="F50" s="167" t="s">
        <v>51</v>
      </c>
      <c r="G50" s="165" t="s">
        <v>51</v>
      </c>
      <c r="H50" s="165" t="s">
        <v>51</v>
      </c>
      <c r="I50" s="167">
        <v>10</v>
      </c>
      <c r="J50" s="165" t="s">
        <v>51</v>
      </c>
      <c r="K50" s="167">
        <v>3</v>
      </c>
    </row>
    <row r="51" spans="1:11" s="18" customFormat="1" ht="12.95" customHeight="1" x14ac:dyDescent="0.2">
      <c r="A51" s="119"/>
      <c r="B51" s="58"/>
      <c r="C51" s="85"/>
      <c r="D51" s="162">
        <v>2018</v>
      </c>
      <c r="E51" s="167">
        <v>10</v>
      </c>
      <c r="F51" s="165">
        <v>2</v>
      </c>
      <c r="G51" s="165">
        <v>1</v>
      </c>
      <c r="H51" s="167" t="s">
        <v>51</v>
      </c>
      <c r="I51" s="167">
        <v>2</v>
      </c>
      <c r="J51" s="167" t="s">
        <v>51</v>
      </c>
      <c r="K51" s="167">
        <v>5</v>
      </c>
    </row>
    <row r="52" spans="1:11" s="18" customFormat="1" ht="8.1" customHeight="1" x14ac:dyDescent="0.2">
      <c r="A52" s="119"/>
      <c r="B52" s="58"/>
      <c r="C52" s="85"/>
      <c r="D52" s="162"/>
      <c r="E52" s="167"/>
      <c r="F52" s="167"/>
      <c r="G52" s="167"/>
      <c r="H52" s="167"/>
      <c r="I52" s="167"/>
      <c r="J52" s="167"/>
      <c r="K52" s="167"/>
    </row>
    <row r="53" spans="1:11" s="18" customFormat="1" ht="12.95" customHeight="1" x14ac:dyDescent="0.2">
      <c r="A53" s="53"/>
      <c r="B53" s="58" t="s">
        <v>47</v>
      </c>
      <c r="C53" s="85"/>
      <c r="D53" s="162">
        <v>2016</v>
      </c>
      <c r="E53" s="167">
        <v>187</v>
      </c>
      <c r="F53" s="167">
        <v>69</v>
      </c>
      <c r="G53" s="167" t="s">
        <v>51</v>
      </c>
      <c r="H53" s="167">
        <v>2</v>
      </c>
      <c r="I53" s="167">
        <v>62</v>
      </c>
      <c r="J53" s="167">
        <v>7</v>
      </c>
      <c r="K53" s="167">
        <v>47</v>
      </c>
    </row>
    <row r="54" spans="1:11" s="18" customFormat="1" ht="12.95" customHeight="1" x14ac:dyDescent="0.2">
      <c r="A54" s="53"/>
      <c r="B54" s="58"/>
      <c r="C54" s="85"/>
      <c r="D54" s="162">
        <v>2017</v>
      </c>
      <c r="E54" s="167">
        <v>116</v>
      </c>
      <c r="F54" s="167">
        <v>35</v>
      </c>
      <c r="G54" s="165">
        <v>1</v>
      </c>
      <c r="H54" s="167">
        <v>2</v>
      </c>
      <c r="I54" s="167">
        <v>45</v>
      </c>
      <c r="J54" s="167" t="s">
        <v>51</v>
      </c>
      <c r="K54" s="167">
        <v>33</v>
      </c>
    </row>
    <row r="55" spans="1:11" s="18" customFormat="1" ht="12.95" customHeight="1" x14ac:dyDescent="0.2">
      <c r="A55" s="119"/>
      <c r="B55" s="58"/>
      <c r="C55" s="85"/>
      <c r="D55" s="162">
        <v>2018</v>
      </c>
      <c r="E55" s="167">
        <v>81</v>
      </c>
      <c r="F55" s="167">
        <v>30</v>
      </c>
      <c r="G55" s="167" t="s">
        <v>51</v>
      </c>
      <c r="H55" s="167">
        <v>1</v>
      </c>
      <c r="I55" s="167">
        <v>32</v>
      </c>
      <c r="J55" s="167" t="s">
        <v>51</v>
      </c>
      <c r="K55" s="167">
        <v>18</v>
      </c>
    </row>
    <row r="56" spans="1:11" s="18" customFormat="1" ht="8.1" customHeight="1" x14ac:dyDescent="0.2">
      <c r="A56" s="119"/>
      <c r="B56" s="58"/>
      <c r="C56" s="85"/>
      <c r="D56" s="162"/>
      <c r="E56" s="167"/>
      <c r="F56" s="167"/>
      <c r="G56" s="167"/>
      <c r="H56" s="167"/>
      <c r="I56" s="167"/>
      <c r="J56" s="167"/>
      <c r="K56" s="167"/>
    </row>
    <row r="57" spans="1:11" s="18" customFormat="1" ht="12.95" customHeight="1" x14ac:dyDescent="0.2">
      <c r="A57" s="53"/>
      <c r="B57" s="58" t="s">
        <v>73</v>
      </c>
      <c r="C57" s="85"/>
      <c r="D57" s="162">
        <v>2016</v>
      </c>
      <c r="E57" s="167">
        <v>30</v>
      </c>
      <c r="F57" s="167">
        <v>2</v>
      </c>
      <c r="G57" s="165">
        <v>1</v>
      </c>
      <c r="H57" s="167">
        <v>7</v>
      </c>
      <c r="I57" s="167">
        <v>13</v>
      </c>
      <c r="J57" s="167">
        <v>2</v>
      </c>
      <c r="K57" s="167">
        <v>5</v>
      </c>
    </row>
    <row r="58" spans="1:11" s="18" customFormat="1" ht="12.95" customHeight="1" x14ac:dyDescent="0.2">
      <c r="A58" s="53"/>
      <c r="B58" s="58"/>
      <c r="C58" s="85"/>
      <c r="D58" s="162">
        <v>2017</v>
      </c>
      <c r="E58" s="167">
        <v>23</v>
      </c>
      <c r="F58" s="167">
        <v>5</v>
      </c>
      <c r="G58" s="167">
        <v>1</v>
      </c>
      <c r="H58" s="167">
        <v>1</v>
      </c>
      <c r="I58" s="167">
        <v>12</v>
      </c>
      <c r="J58" s="167" t="s">
        <v>51</v>
      </c>
      <c r="K58" s="167">
        <v>4</v>
      </c>
    </row>
    <row r="59" spans="1:11" s="18" customFormat="1" ht="12.95" customHeight="1" x14ac:dyDescent="0.2">
      <c r="A59" s="119"/>
      <c r="B59" s="58"/>
      <c r="C59" s="85"/>
      <c r="D59" s="162">
        <v>2018</v>
      </c>
      <c r="E59" s="167">
        <v>25</v>
      </c>
      <c r="F59" s="167">
        <v>4</v>
      </c>
      <c r="G59" s="167" t="s">
        <v>51</v>
      </c>
      <c r="H59" s="167">
        <v>2</v>
      </c>
      <c r="I59" s="167">
        <v>16</v>
      </c>
      <c r="J59" s="165">
        <v>1</v>
      </c>
      <c r="K59" s="167">
        <v>2</v>
      </c>
    </row>
    <row r="60" spans="1:11" s="18" customFormat="1" ht="8.1" customHeight="1" x14ac:dyDescent="0.2">
      <c r="A60" s="119"/>
      <c r="B60" s="58"/>
      <c r="C60" s="85"/>
      <c r="D60" s="162"/>
      <c r="E60" s="167"/>
      <c r="F60" s="167"/>
      <c r="G60" s="167"/>
      <c r="H60" s="167"/>
      <c r="I60" s="167"/>
      <c r="J60" s="167"/>
      <c r="K60" s="167"/>
    </row>
    <row r="61" spans="1:11" s="18" customFormat="1" ht="12.95" customHeight="1" x14ac:dyDescent="0.2">
      <c r="A61" s="53"/>
      <c r="B61" s="58" t="s">
        <v>74</v>
      </c>
      <c r="C61" s="85"/>
      <c r="D61" s="162">
        <v>2016</v>
      </c>
      <c r="E61" s="167">
        <v>99</v>
      </c>
      <c r="F61" s="167">
        <v>24</v>
      </c>
      <c r="G61" s="167">
        <v>1</v>
      </c>
      <c r="H61" s="167">
        <v>5</v>
      </c>
      <c r="I61" s="167">
        <v>49</v>
      </c>
      <c r="J61" s="165">
        <v>1</v>
      </c>
      <c r="K61" s="167">
        <v>19</v>
      </c>
    </row>
    <row r="62" spans="1:11" s="18" customFormat="1" ht="12.95" customHeight="1" x14ac:dyDescent="0.2">
      <c r="A62" s="53"/>
      <c r="B62" s="58"/>
      <c r="C62" s="85"/>
      <c r="D62" s="162">
        <v>2017</v>
      </c>
      <c r="E62" s="167">
        <v>104</v>
      </c>
      <c r="F62" s="167">
        <v>16</v>
      </c>
      <c r="G62" s="167">
        <v>2</v>
      </c>
      <c r="H62" s="167">
        <v>3</v>
      </c>
      <c r="I62" s="167">
        <v>62</v>
      </c>
      <c r="J62" s="167" t="s">
        <v>51</v>
      </c>
      <c r="K62" s="167">
        <v>21</v>
      </c>
    </row>
    <row r="63" spans="1:11" s="18" customFormat="1" ht="12.95" customHeight="1" x14ac:dyDescent="0.2">
      <c r="A63" s="119"/>
      <c r="B63" s="58"/>
      <c r="C63" s="85"/>
      <c r="D63" s="162">
        <v>2018</v>
      </c>
      <c r="E63" s="167">
        <v>84</v>
      </c>
      <c r="F63" s="167">
        <v>14</v>
      </c>
      <c r="G63" s="167">
        <v>4</v>
      </c>
      <c r="H63" s="167">
        <v>4</v>
      </c>
      <c r="I63" s="167">
        <v>45</v>
      </c>
      <c r="J63" s="165">
        <v>2</v>
      </c>
      <c r="K63" s="167">
        <v>15</v>
      </c>
    </row>
    <row r="64" spans="1:11" s="18" customFormat="1" ht="8.1" customHeight="1" x14ac:dyDescent="0.2">
      <c r="A64" s="119"/>
      <c r="B64" s="58"/>
      <c r="C64" s="85"/>
      <c r="D64" s="162"/>
      <c r="E64" s="167"/>
      <c r="F64" s="167"/>
      <c r="G64" s="167"/>
      <c r="H64" s="167"/>
      <c r="I64" s="167"/>
      <c r="J64" s="167"/>
      <c r="K64" s="167"/>
    </row>
    <row r="65" spans="1:12" s="18" customFormat="1" ht="12.95" customHeight="1" x14ac:dyDescent="0.2">
      <c r="A65" s="119"/>
      <c r="B65" s="58" t="s">
        <v>75</v>
      </c>
      <c r="C65" s="85"/>
      <c r="D65" s="162">
        <v>2016</v>
      </c>
      <c r="E65" s="167">
        <v>584</v>
      </c>
      <c r="F65" s="167">
        <v>97</v>
      </c>
      <c r="G65" s="167">
        <v>6</v>
      </c>
      <c r="H65" s="167">
        <v>33</v>
      </c>
      <c r="I65" s="167">
        <v>252</v>
      </c>
      <c r="J65" s="167">
        <v>20</v>
      </c>
      <c r="K65" s="167">
        <v>176</v>
      </c>
    </row>
    <row r="66" spans="1:12" s="96" customFormat="1" ht="12.95" customHeight="1" x14ac:dyDescent="0.2">
      <c r="A66" s="118"/>
      <c r="B66" s="58"/>
      <c r="C66" s="85"/>
      <c r="D66" s="162">
        <v>2017</v>
      </c>
      <c r="E66" s="167">
        <v>561</v>
      </c>
      <c r="F66" s="167">
        <v>129</v>
      </c>
      <c r="G66" s="167">
        <v>4</v>
      </c>
      <c r="H66" s="167">
        <v>28</v>
      </c>
      <c r="I66" s="167">
        <v>214</v>
      </c>
      <c r="J66" s="167" t="s">
        <v>51</v>
      </c>
      <c r="K66" s="167">
        <v>186</v>
      </c>
    </row>
    <row r="67" spans="1:12" s="18" customFormat="1" ht="12.95" customHeight="1" x14ac:dyDescent="0.2">
      <c r="A67" s="119"/>
      <c r="B67" s="58"/>
      <c r="C67" s="85"/>
      <c r="D67" s="162">
        <v>2018</v>
      </c>
      <c r="E67" s="167">
        <v>574</v>
      </c>
      <c r="F67" s="167">
        <v>160</v>
      </c>
      <c r="G67" s="167">
        <v>5</v>
      </c>
      <c r="H67" s="167">
        <v>31</v>
      </c>
      <c r="I67" s="167">
        <v>246</v>
      </c>
      <c r="J67" s="165">
        <v>1</v>
      </c>
      <c r="K67" s="167">
        <v>131</v>
      </c>
    </row>
    <row r="68" spans="1:12" s="18" customFormat="1" ht="8.1" customHeight="1" x14ac:dyDescent="0.2">
      <c r="A68" s="119"/>
      <c r="B68" s="58"/>
      <c r="C68" s="85"/>
      <c r="D68" s="162"/>
      <c r="E68" s="167"/>
      <c r="F68" s="167"/>
      <c r="G68" s="167"/>
      <c r="H68" s="167"/>
      <c r="I68" s="167"/>
      <c r="J68" s="167"/>
      <c r="K68" s="167"/>
    </row>
    <row r="69" spans="1:12" s="19" customFormat="1" ht="12.95" customHeight="1" x14ac:dyDescent="0.2">
      <c r="A69" s="53"/>
      <c r="B69" s="58" t="s">
        <v>76</v>
      </c>
      <c r="C69" s="85"/>
      <c r="D69" s="162">
        <v>2016</v>
      </c>
      <c r="E69" s="167">
        <v>112</v>
      </c>
      <c r="F69" s="167">
        <v>21</v>
      </c>
      <c r="G69" s="167">
        <v>1</v>
      </c>
      <c r="H69" s="167">
        <v>7</v>
      </c>
      <c r="I69" s="167">
        <v>56</v>
      </c>
      <c r="J69" s="165">
        <v>1</v>
      </c>
      <c r="K69" s="167">
        <v>26</v>
      </c>
    </row>
    <row r="70" spans="1:12" s="19" customFormat="1" ht="12.95" customHeight="1" x14ac:dyDescent="0.2">
      <c r="A70" s="53"/>
      <c r="B70" s="58"/>
      <c r="C70" s="85"/>
      <c r="D70" s="162">
        <v>2017</v>
      </c>
      <c r="E70" s="167">
        <v>117</v>
      </c>
      <c r="F70" s="167">
        <v>23</v>
      </c>
      <c r="G70" s="167">
        <v>2</v>
      </c>
      <c r="H70" s="167">
        <v>12</v>
      </c>
      <c r="I70" s="167">
        <v>47</v>
      </c>
      <c r="J70" s="167" t="s">
        <v>51</v>
      </c>
      <c r="K70" s="167">
        <v>33</v>
      </c>
    </row>
    <row r="71" spans="1:12" s="19" customFormat="1" ht="12.95" customHeight="1" x14ac:dyDescent="0.2">
      <c r="A71" s="119"/>
      <c r="B71" s="58"/>
      <c r="C71" s="85"/>
      <c r="D71" s="162">
        <v>2018</v>
      </c>
      <c r="E71" s="167">
        <v>122</v>
      </c>
      <c r="F71" s="167">
        <v>23</v>
      </c>
      <c r="G71" s="167">
        <v>1</v>
      </c>
      <c r="H71" s="167">
        <v>6</v>
      </c>
      <c r="I71" s="167">
        <v>49</v>
      </c>
      <c r="J71" s="167" t="s">
        <v>51</v>
      </c>
      <c r="K71" s="167">
        <v>43</v>
      </c>
    </row>
    <row r="72" spans="1:12" s="19" customFormat="1" ht="8.1" customHeight="1" x14ac:dyDescent="0.2">
      <c r="A72" s="119"/>
      <c r="B72" s="58"/>
      <c r="C72" s="85"/>
      <c r="D72" s="162"/>
      <c r="E72" s="167"/>
      <c r="F72" s="167"/>
      <c r="G72" s="167"/>
      <c r="H72" s="167"/>
      <c r="I72" s="167"/>
      <c r="J72" s="167"/>
      <c r="K72" s="167"/>
    </row>
    <row r="73" spans="1:12" s="19" customFormat="1" ht="12.95" customHeight="1" x14ac:dyDescent="0.2">
      <c r="A73" s="53"/>
      <c r="B73" s="58" t="s">
        <v>77</v>
      </c>
      <c r="C73" s="85"/>
      <c r="D73" s="162">
        <v>2016</v>
      </c>
      <c r="E73" s="167">
        <v>140</v>
      </c>
      <c r="F73" s="167">
        <v>10</v>
      </c>
      <c r="G73" s="167">
        <v>19</v>
      </c>
      <c r="H73" s="167">
        <v>13</v>
      </c>
      <c r="I73" s="167">
        <v>64</v>
      </c>
      <c r="J73" s="165">
        <v>1</v>
      </c>
      <c r="K73" s="167">
        <v>33</v>
      </c>
    </row>
    <row r="74" spans="1:12" s="19" customFormat="1" ht="12.95" customHeight="1" x14ac:dyDescent="0.2">
      <c r="A74" s="53"/>
      <c r="B74" s="58"/>
      <c r="C74" s="85"/>
      <c r="D74" s="162">
        <v>2017</v>
      </c>
      <c r="E74" s="167">
        <v>133</v>
      </c>
      <c r="F74" s="165">
        <v>21</v>
      </c>
      <c r="G74" s="167">
        <v>7</v>
      </c>
      <c r="H74" s="167">
        <v>7</v>
      </c>
      <c r="I74" s="167">
        <v>63</v>
      </c>
      <c r="J74" s="167" t="s">
        <v>51</v>
      </c>
      <c r="K74" s="167">
        <v>35</v>
      </c>
    </row>
    <row r="75" spans="1:12" s="19" customFormat="1" ht="12.95" customHeight="1" x14ac:dyDescent="0.2">
      <c r="A75" s="119"/>
      <c r="B75" s="58"/>
      <c r="C75" s="85"/>
      <c r="D75" s="162">
        <v>2018</v>
      </c>
      <c r="E75" s="167">
        <v>138</v>
      </c>
      <c r="F75" s="167">
        <v>35</v>
      </c>
      <c r="G75" s="167">
        <v>8</v>
      </c>
      <c r="H75" s="167">
        <v>13</v>
      </c>
      <c r="I75" s="167">
        <v>56</v>
      </c>
      <c r="J75" s="167" t="s">
        <v>51</v>
      </c>
      <c r="K75" s="167">
        <v>26</v>
      </c>
    </row>
    <row r="76" spans="1:12" s="53" customFormat="1" ht="8.1" customHeight="1" thickBot="1" x14ac:dyDescent="0.25">
      <c r="A76" s="219"/>
      <c r="B76" s="60"/>
      <c r="C76" s="274"/>
      <c r="D76" s="289"/>
      <c r="E76" s="212"/>
      <c r="F76" s="212"/>
      <c r="G76" s="212"/>
      <c r="H76" s="212"/>
      <c r="I76" s="212"/>
      <c r="J76" s="290"/>
      <c r="K76" s="212"/>
      <c r="L76" s="219"/>
    </row>
    <row r="77" spans="1:12" x14ac:dyDescent="0.25">
      <c r="B77" s="266"/>
      <c r="C77" s="266"/>
      <c r="D77" s="266"/>
      <c r="E77" s="206"/>
      <c r="F77" s="207"/>
      <c r="G77" s="7"/>
      <c r="H77" s="7"/>
      <c r="I77" s="268"/>
      <c r="J77" s="208"/>
      <c r="K77" s="8" t="s">
        <v>101</v>
      </c>
    </row>
    <row r="78" spans="1:12" x14ac:dyDescent="0.25">
      <c r="B78" s="7"/>
      <c r="C78" s="7"/>
      <c r="D78" s="7"/>
      <c r="E78" s="269"/>
      <c r="F78" s="267"/>
      <c r="G78" s="266"/>
      <c r="H78" s="266"/>
      <c r="I78" s="267"/>
      <c r="J78" s="207"/>
      <c r="K78" s="41" t="s">
        <v>1</v>
      </c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9" fitToWidth="0" orientation="portrait" r:id="rId1"/>
  <headerFooter>
    <oddHeader xml:space="preserve">&amp;R&amp;"-,Bold"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0"/>
  <sheetViews>
    <sheetView showGridLines="0" tabSelected="1" topLeftCell="A17" zoomScale="98" zoomScaleNormal="98" zoomScaleSheetLayoutView="100" workbookViewId="0">
      <selection activeCell="J23" sqref="J23"/>
    </sheetView>
  </sheetViews>
  <sheetFormatPr defaultRowHeight="15" x14ac:dyDescent="0.25"/>
  <cols>
    <col min="1" max="1" width="0.85546875" style="2" customWidth="1"/>
    <col min="2" max="2" width="10" style="3" customWidth="1"/>
    <col min="3" max="3" width="13" style="3" customWidth="1"/>
    <col min="4" max="4" width="9.7109375" style="3" customWidth="1"/>
    <col min="5" max="5" width="10.85546875" style="4" customWidth="1"/>
    <col min="6" max="6" width="11" style="5" customWidth="1"/>
    <col min="7" max="7" width="10.42578125" style="5" customWidth="1"/>
    <col min="8" max="8" width="11.7109375" style="209" customWidth="1"/>
    <col min="9" max="9" width="12.28515625" style="5" customWidth="1"/>
    <col min="10" max="10" width="10.5703125" style="2" customWidth="1"/>
    <col min="11" max="11" width="10.85546875" style="2" customWidth="1"/>
    <col min="12" max="12" width="0.710937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85"/>
      <c r="E12" s="286"/>
      <c r="F12" s="287"/>
      <c r="G12" s="286"/>
      <c r="H12" s="286"/>
      <c r="I12" s="286"/>
      <c r="J12" s="287"/>
      <c r="K12" s="286"/>
    </row>
    <row r="13" spans="1:12" s="119" customFormat="1" ht="15" customHeight="1" x14ac:dyDescent="0.2">
      <c r="B13" s="64" t="s">
        <v>49</v>
      </c>
      <c r="C13" s="127"/>
      <c r="D13" s="65">
        <v>2016</v>
      </c>
      <c r="E13" s="166">
        <f t="shared" ref="E13" si="0">SUM(F13:K13)</f>
        <v>546</v>
      </c>
      <c r="F13" s="166">
        <v>85</v>
      </c>
      <c r="G13" s="166">
        <v>4</v>
      </c>
      <c r="H13" s="166">
        <v>20</v>
      </c>
      <c r="I13" s="166">
        <v>228</v>
      </c>
      <c r="J13" s="166">
        <v>17</v>
      </c>
      <c r="K13" s="166">
        <v>192</v>
      </c>
    </row>
    <row r="14" spans="1:12" s="119" customFormat="1" ht="15" customHeight="1" x14ac:dyDescent="0.2">
      <c r="B14" s="127"/>
      <c r="C14" s="127"/>
      <c r="D14" s="65">
        <v>2017</v>
      </c>
      <c r="E14" s="166">
        <f>SUM(F14:K14)</f>
        <v>471</v>
      </c>
      <c r="F14" s="166">
        <f>F18+F22+F26</f>
        <v>87</v>
      </c>
      <c r="G14" s="166">
        <f t="shared" ref="G14:K14" si="1">G18+G22+G26</f>
        <v>5</v>
      </c>
      <c r="H14" s="166">
        <f t="shared" si="1"/>
        <v>11</v>
      </c>
      <c r="I14" s="166">
        <f t="shared" si="1"/>
        <v>186</v>
      </c>
      <c r="J14" s="166">
        <f>J22</f>
        <v>1</v>
      </c>
      <c r="K14" s="166">
        <f t="shared" si="1"/>
        <v>181</v>
      </c>
    </row>
    <row r="15" spans="1:12" s="119" customFormat="1" ht="15" customHeight="1" x14ac:dyDescent="0.2">
      <c r="B15" s="127"/>
      <c r="C15" s="127"/>
      <c r="D15" s="65">
        <v>2018</v>
      </c>
      <c r="E15" s="166">
        <f>SUM(F15:K15)</f>
        <v>437</v>
      </c>
      <c r="F15" s="166">
        <f>SUM(F19,F23,F27)</f>
        <v>54</v>
      </c>
      <c r="G15" s="166">
        <f t="shared" ref="G15:K15" si="2">SUM(G19,G23,G27)</f>
        <v>2</v>
      </c>
      <c r="H15" s="166">
        <f t="shared" si="2"/>
        <v>14</v>
      </c>
      <c r="I15" s="166">
        <f t="shared" si="2"/>
        <v>175</v>
      </c>
      <c r="J15" s="143" t="s">
        <v>51</v>
      </c>
      <c r="K15" s="166">
        <f t="shared" si="2"/>
        <v>192</v>
      </c>
    </row>
    <row r="16" spans="1:12" s="119" customFormat="1" ht="15" customHeight="1" x14ac:dyDescent="0.2">
      <c r="B16" s="127"/>
      <c r="C16" s="127"/>
      <c r="D16" s="162"/>
      <c r="E16" s="167"/>
      <c r="F16" s="167"/>
      <c r="G16" s="167"/>
      <c r="H16" s="167"/>
      <c r="I16" s="167"/>
      <c r="J16" s="167"/>
      <c r="K16" s="167"/>
    </row>
    <row r="17" spans="1:12" s="119" customFormat="1" ht="15" customHeight="1" x14ac:dyDescent="0.2">
      <c r="A17" s="53"/>
      <c r="B17" s="58" t="s">
        <v>78</v>
      </c>
      <c r="C17" s="85"/>
      <c r="D17" s="162">
        <v>2016</v>
      </c>
      <c r="E17" s="167">
        <f t="shared" ref="E17:E27" si="3">SUM(F17:K17)</f>
        <v>120</v>
      </c>
      <c r="F17" s="167">
        <v>23</v>
      </c>
      <c r="G17" s="165" t="s">
        <v>51</v>
      </c>
      <c r="H17" s="167">
        <v>2</v>
      </c>
      <c r="I17" s="167">
        <v>44</v>
      </c>
      <c r="J17" s="167">
        <v>6</v>
      </c>
      <c r="K17" s="167">
        <v>45</v>
      </c>
    </row>
    <row r="18" spans="1:12" s="119" customFormat="1" ht="15" customHeight="1" x14ac:dyDescent="0.2">
      <c r="B18" s="58"/>
      <c r="C18" s="85"/>
      <c r="D18" s="162">
        <v>2017</v>
      </c>
      <c r="E18" s="167">
        <f t="shared" si="3"/>
        <v>98</v>
      </c>
      <c r="F18" s="167">
        <f>7+11</f>
        <v>18</v>
      </c>
      <c r="G18" s="167">
        <v>1</v>
      </c>
      <c r="H18" s="167">
        <v>4</v>
      </c>
      <c r="I18" s="167">
        <v>44</v>
      </c>
      <c r="J18" s="165" t="s">
        <v>51</v>
      </c>
      <c r="K18" s="167">
        <f>2+1+9+1+18</f>
        <v>31</v>
      </c>
    </row>
    <row r="19" spans="1:12" s="119" customFormat="1" ht="15" customHeight="1" x14ac:dyDescent="0.2">
      <c r="B19" s="58"/>
      <c r="C19" s="85"/>
      <c r="D19" s="162">
        <v>2018</v>
      </c>
      <c r="E19" s="167">
        <f t="shared" si="3"/>
        <v>108</v>
      </c>
      <c r="F19" s="167">
        <v>12</v>
      </c>
      <c r="G19" s="167">
        <v>1</v>
      </c>
      <c r="H19" s="167">
        <v>2</v>
      </c>
      <c r="I19" s="167">
        <v>54</v>
      </c>
      <c r="J19" s="165" t="s">
        <v>51</v>
      </c>
      <c r="K19" s="167">
        <v>39</v>
      </c>
    </row>
    <row r="20" spans="1:12" s="119" customFormat="1" ht="15" customHeight="1" x14ac:dyDescent="0.2">
      <c r="B20" s="58"/>
      <c r="C20" s="85"/>
      <c r="D20" s="162"/>
      <c r="E20" s="167"/>
      <c r="F20" s="167"/>
      <c r="G20" s="167"/>
      <c r="H20" s="167"/>
      <c r="I20" s="167"/>
      <c r="J20" s="167"/>
      <c r="K20" s="167"/>
    </row>
    <row r="21" spans="1:12" s="119" customFormat="1" ht="15" customHeight="1" x14ac:dyDescent="0.2">
      <c r="B21" s="58" t="s">
        <v>79</v>
      </c>
      <c r="C21" s="85"/>
      <c r="D21" s="162">
        <v>2016</v>
      </c>
      <c r="E21" s="167">
        <f t="shared" si="3"/>
        <v>361</v>
      </c>
      <c r="F21" s="167">
        <v>46</v>
      </c>
      <c r="G21" s="167">
        <v>4</v>
      </c>
      <c r="H21" s="167">
        <v>17</v>
      </c>
      <c r="I21" s="167">
        <v>161</v>
      </c>
      <c r="J21" s="167">
        <v>8</v>
      </c>
      <c r="K21" s="167">
        <v>125</v>
      </c>
    </row>
    <row r="22" spans="1:12" s="119" customFormat="1" ht="15" customHeight="1" x14ac:dyDescent="0.2">
      <c r="A22" s="53"/>
      <c r="B22" s="58"/>
      <c r="C22" s="85"/>
      <c r="D22" s="162">
        <v>2017</v>
      </c>
      <c r="E22" s="167">
        <f t="shared" si="3"/>
        <v>297</v>
      </c>
      <c r="F22" s="167">
        <f>47+4</f>
        <v>51</v>
      </c>
      <c r="G22" s="167">
        <v>3</v>
      </c>
      <c r="H22" s="167">
        <v>5</v>
      </c>
      <c r="I22" s="167">
        <v>106</v>
      </c>
      <c r="J22" s="167">
        <v>1</v>
      </c>
      <c r="K22" s="167">
        <f>9+5+73+44</f>
        <v>131</v>
      </c>
    </row>
    <row r="23" spans="1:12" s="119" customFormat="1" ht="15" customHeight="1" x14ac:dyDescent="0.2">
      <c r="B23" s="58"/>
      <c r="C23" s="85"/>
      <c r="D23" s="162">
        <v>2018</v>
      </c>
      <c r="E23" s="167">
        <f t="shared" si="3"/>
        <v>267</v>
      </c>
      <c r="F23" s="167">
        <v>32</v>
      </c>
      <c r="G23" s="167">
        <v>1</v>
      </c>
      <c r="H23" s="167">
        <v>9</v>
      </c>
      <c r="I23" s="167">
        <v>91</v>
      </c>
      <c r="J23" s="165" t="s">
        <v>51</v>
      </c>
      <c r="K23" s="167">
        <v>134</v>
      </c>
    </row>
    <row r="24" spans="1:12" s="119" customFormat="1" ht="15" customHeight="1" x14ac:dyDescent="0.2">
      <c r="B24" s="58"/>
      <c r="C24" s="85"/>
      <c r="D24" s="162"/>
      <c r="E24" s="167"/>
      <c r="F24" s="167"/>
      <c r="G24" s="165"/>
      <c r="H24" s="167"/>
      <c r="I24" s="167"/>
      <c r="J24" s="167"/>
      <c r="K24" s="167"/>
    </row>
    <row r="25" spans="1:12" s="119" customFormat="1" ht="15" customHeight="1" x14ac:dyDescent="0.2">
      <c r="A25" s="53"/>
      <c r="B25" s="58" t="s">
        <v>80</v>
      </c>
      <c r="C25" s="85"/>
      <c r="D25" s="162">
        <v>2016</v>
      </c>
      <c r="E25" s="167">
        <f t="shared" si="3"/>
        <v>65</v>
      </c>
      <c r="F25" s="167">
        <v>16</v>
      </c>
      <c r="G25" s="165" t="s">
        <v>51</v>
      </c>
      <c r="H25" s="167">
        <v>1</v>
      </c>
      <c r="I25" s="167">
        <v>23</v>
      </c>
      <c r="J25" s="167">
        <v>3</v>
      </c>
      <c r="K25" s="167">
        <v>22</v>
      </c>
    </row>
    <row r="26" spans="1:12" s="119" customFormat="1" ht="15" customHeight="1" x14ac:dyDescent="0.2">
      <c r="B26" s="58"/>
      <c r="C26" s="85"/>
      <c r="D26" s="162">
        <v>2017</v>
      </c>
      <c r="E26" s="167">
        <f t="shared" si="3"/>
        <v>76</v>
      </c>
      <c r="F26" s="167">
        <v>18</v>
      </c>
      <c r="G26" s="167">
        <v>1</v>
      </c>
      <c r="H26" s="167">
        <v>2</v>
      </c>
      <c r="I26" s="167">
        <v>36</v>
      </c>
      <c r="J26" s="165" t="s">
        <v>51</v>
      </c>
      <c r="K26" s="167">
        <f>1+13+5</f>
        <v>19</v>
      </c>
    </row>
    <row r="27" spans="1:12" s="119" customFormat="1" ht="15" customHeight="1" x14ac:dyDescent="0.2">
      <c r="B27" s="58"/>
      <c r="C27" s="85"/>
      <c r="D27" s="162">
        <v>2018</v>
      </c>
      <c r="E27" s="167">
        <f t="shared" si="3"/>
        <v>62</v>
      </c>
      <c r="F27" s="163">
        <v>10</v>
      </c>
      <c r="G27" s="165" t="s">
        <v>51</v>
      </c>
      <c r="H27" s="163">
        <v>3</v>
      </c>
      <c r="I27" s="163">
        <v>30</v>
      </c>
      <c r="J27" s="165" t="s">
        <v>51</v>
      </c>
      <c r="K27" s="163">
        <v>19</v>
      </c>
    </row>
    <row r="28" spans="1:12" s="119" customFormat="1" ht="8.1" customHeight="1" thickBot="1" x14ac:dyDescent="0.25">
      <c r="A28" s="219"/>
      <c r="B28" s="60"/>
      <c r="C28" s="274"/>
      <c r="D28" s="141"/>
      <c r="E28" s="61"/>
      <c r="F28" s="61"/>
      <c r="G28" s="61"/>
      <c r="H28" s="61"/>
      <c r="I28" s="61"/>
      <c r="J28" s="61"/>
      <c r="K28" s="61"/>
    </row>
    <row r="29" spans="1:12" s="119" customFormat="1" ht="8.1" customHeight="1" x14ac:dyDescent="0.2">
      <c r="C29" s="127"/>
      <c r="D29" s="65"/>
      <c r="E29" s="166"/>
      <c r="F29" s="166"/>
      <c r="G29" s="166"/>
      <c r="H29" s="166"/>
      <c r="I29" s="166"/>
      <c r="J29" s="166"/>
      <c r="K29" s="166"/>
      <c r="L29" s="291"/>
    </row>
    <row r="30" spans="1:12" s="119" customFormat="1" ht="15" customHeight="1" x14ac:dyDescent="0.2">
      <c r="B30" s="292" t="s">
        <v>50</v>
      </c>
      <c r="C30" s="127"/>
      <c r="D30" s="65">
        <v>2016</v>
      </c>
      <c r="E30" s="166">
        <f t="shared" ref="E30:E31" si="4">SUM(F30:K30)</f>
        <v>5078</v>
      </c>
      <c r="F30" s="166">
        <f>SUM(F34,F38,F42,F46,F50)</f>
        <v>917</v>
      </c>
      <c r="G30" s="166">
        <f t="shared" ref="G30:K30" si="5">SUM(G34,G38,G42,G46,G50)</f>
        <v>110</v>
      </c>
      <c r="H30" s="166">
        <f t="shared" si="5"/>
        <v>449</v>
      </c>
      <c r="I30" s="166">
        <f t="shared" si="5"/>
        <v>2401</v>
      </c>
      <c r="J30" s="166">
        <f t="shared" si="5"/>
        <v>191</v>
      </c>
      <c r="K30" s="166">
        <f t="shared" si="5"/>
        <v>1010</v>
      </c>
    </row>
    <row r="31" spans="1:12" s="119" customFormat="1" ht="15" customHeight="1" x14ac:dyDescent="0.2">
      <c r="B31" s="127"/>
      <c r="C31" s="127"/>
      <c r="D31" s="65">
        <v>2017</v>
      </c>
      <c r="E31" s="166">
        <f t="shared" si="4"/>
        <v>4473</v>
      </c>
      <c r="F31" s="166">
        <f t="shared" ref="F31:K32" si="6">SUM(F35,F39,F43,F47,F51)</f>
        <v>868</v>
      </c>
      <c r="G31" s="166">
        <f t="shared" si="6"/>
        <v>66</v>
      </c>
      <c r="H31" s="166">
        <f t="shared" si="6"/>
        <v>356</v>
      </c>
      <c r="I31" s="166">
        <f t="shared" si="6"/>
        <v>2322</v>
      </c>
      <c r="J31" s="166">
        <f t="shared" si="6"/>
        <v>11</v>
      </c>
      <c r="K31" s="166">
        <f t="shared" si="6"/>
        <v>850</v>
      </c>
    </row>
    <row r="32" spans="1:12" s="119" customFormat="1" ht="15" customHeight="1" x14ac:dyDescent="0.2">
      <c r="B32" s="127"/>
      <c r="C32" s="127"/>
      <c r="D32" s="65">
        <v>2018</v>
      </c>
      <c r="E32" s="166">
        <f>F32+G32+H32+I32+J32+K32</f>
        <v>4127</v>
      </c>
      <c r="F32" s="166">
        <f t="shared" si="6"/>
        <v>855</v>
      </c>
      <c r="G32" s="166">
        <f t="shared" si="6"/>
        <v>76</v>
      </c>
      <c r="H32" s="166">
        <f t="shared" si="6"/>
        <v>350</v>
      </c>
      <c r="I32" s="166">
        <f t="shared" si="6"/>
        <v>1986</v>
      </c>
      <c r="J32" s="166">
        <f t="shared" si="6"/>
        <v>12</v>
      </c>
      <c r="K32" s="166">
        <f t="shared" si="6"/>
        <v>848</v>
      </c>
      <c r="L32" s="293">
        <f t="shared" ref="L32" si="7">L36+L40+L44+L48+L52</f>
        <v>0</v>
      </c>
    </row>
    <row r="33" spans="1:12" s="119" customFormat="1" ht="15" customHeight="1" x14ac:dyDescent="0.2">
      <c r="B33" s="127"/>
      <c r="C33" s="127"/>
      <c r="D33" s="65"/>
      <c r="E33" s="166"/>
      <c r="F33" s="166"/>
      <c r="G33" s="166"/>
      <c r="H33" s="166"/>
      <c r="I33" s="166"/>
      <c r="J33" s="166"/>
      <c r="K33" s="166"/>
    </row>
    <row r="34" spans="1:12" s="53" customFormat="1" ht="15" customHeight="1" x14ac:dyDescent="0.2">
      <c r="B34" s="218" t="s">
        <v>87</v>
      </c>
      <c r="C34" s="233"/>
      <c r="D34" s="162">
        <v>2016</v>
      </c>
      <c r="E34" s="167">
        <f t="shared" ref="E34:E52" si="8">SUM(F34:K34)</f>
        <v>448</v>
      </c>
      <c r="F34" s="320">
        <v>55</v>
      </c>
      <c r="G34" s="320">
        <v>7</v>
      </c>
      <c r="H34" s="303">
        <v>39</v>
      </c>
      <c r="I34" s="320">
        <v>224</v>
      </c>
      <c r="J34" s="320">
        <v>15</v>
      </c>
      <c r="K34" s="320">
        <v>108</v>
      </c>
      <c r="L34" s="119"/>
    </row>
    <row r="35" spans="1:12" s="53" customFormat="1" ht="15" customHeight="1" x14ac:dyDescent="0.2">
      <c r="B35" s="294"/>
      <c r="C35" s="233"/>
      <c r="D35" s="162">
        <v>2017</v>
      </c>
      <c r="E35" s="167">
        <f t="shared" si="8"/>
        <v>432</v>
      </c>
      <c r="F35" s="320">
        <v>81</v>
      </c>
      <c r="G35" s="320">
        <v>6</v>
      </c>
      <c r="H35" s="303">
        <v>43</v>
      </c>
      <c r="I35" s="320">
        <v>225</v>
      </c>
      <c r="J35" s="320">
        <v>3</v>
      </c>
      <c r="K35" s="320">
        <v>74</v>
      </c>
      <c r="L35" s="119"/>
    </row>
    <row r="36" spans="1:12" s="53" customFormat="1" ht="15" customHeight="1" x14ac:dyDescent="0.25">
      <c r="A36" s="119"/>
      <c r="B36" s="218"/>
      <c r="C36" s="233"/>
      <c r="D36" s="162">
        <v>2018</v>
      </c>
      <c r="E36" s="167">
        <f t="shared" si="8"/>
        <v>427</v>
      </c>
      <c r="F36" s="336">
        <v>70</v>
      </c>
      <c r="G36" s="336">
        <v>7</v>
      </c>
      <c r="H36" s="336">
        <v>53</v>
      </c>
      <c r="I36" s="336">
        <v>189</v>
      </c>
      <c r="J36" s="336">
        <v>3</v>
      </c>
      <c r="K36" s="336">
        <v>105</v>
      </c>
      <c r="L36" s="119"/>
    </row>
    <row r="37" spans="1:12" s="53" customFormat="1" ht="15" customHeight="1" x14ac:dyDescent="0.2">
      <c r="C37" s="250"/>
      <c r="D37" s="162"/>
      <c r="E37" s="167"/>
      <c r="F37" s="332"/>
      <c r="G37" s="332"/>
      <c r="H37" s="332"/>
      <c r="I37" s="332"/>
      <c r="J37" s="332"/>
      <c r="K37" s="332"/>
      <c r="L37" s="119"/>
    </row>
    <row r="38" spans="1:12" s="53" customFormat="1" ht="15" customHeight="1" x14ac:dyDescent="0.2">
      <c r="B38" s="218" t="s">
        <v>88</v>
      </c>
      <c r="C38" s="233"/>
      <c r="D38" s="162">
        <v>2016</v>
      </c>
      <c r="E38" s="167">
        <f t="shared" si="8"/>
        <v>370</v>
      </c>
      <c r="F38" s="320">
        <v>118</v>
      </c>
      <c r="G38" s="320">
        <v>8</v>
      </c>
      <c r="H38" s="303">
        <v>32</v>
      </c>
      <c r="I38" s="320">
        <v>136</v>
      </c>
      <c r="J38" s="320">
        <v>10</v>
      </c>
      <c r="K38" s="320">
        <v>66</v>
      </c>
      <c r="L38" s="119"/>
    </row>
    <row r="39" spans="1:12" s="53" customFormat="1" ht="15" customHeight="1" x14ac:dyDescent="0.2">
      <c r="B39" s="294"/>
      <c r="C39" s="233"/>
      <c r="D39" s="162">
        <v>2017</v>
      </c>
      <c r="E39" s="167">
        <f t="shared" si="8"/>
        <v>335</v>
      </c>
      <c r="F39" s="320">
        <v>123</v>
      </c>
      <c r="G39" s="320">
        <v>6</v>
      </c>
      <c r="H39" s="303">
        <v>17</v>
      </c>
      <c r="I39" s="320">
        <v>107</v>
      </c>
      <c r="J39" s="320">
        <v>1</v>
      </c>
      <c r="K39" s="320">
        <v>81</v>
      </c>
      <c r="L39" s="119"/>
    </row>
    <row r="40" spans="1:12" s="53" customFormat="1" ht="15" customHeight="1" x14ac:dyDescent="0.25">
      <c r="A40" s="119"/>
      <c r="B40" s="218"/>
      <c r="C40" s="233"/>
      <c r="D40" s="162">
        <v>2018</v>
      </c>
      <c r="E40" s="167">
        <f t="shared" si="8"/>
        <v>291</v>
      </c>
      <c r="F40" s="336">
        <v>126</v>
      </c>
      <c r="G40" s="336">
        <v>9</v>
      </c>
      <c r="H40" s="336">
        <v>7</v>
      </c>
      <c r="I40" s="336">
        <v>70</v>
      </c>
      <c r="J40" s="403" t="s">
        <v>51</v>
      </c>
      <c r="K40" s="336">
        <v>79</v>
      </c>
      <c r="L40" s="119"/>
    </row>
    <row r="41" spans="1:12" s="53" customFormat="1" ht="15" customHeight="1" x14ac:dyDescent="0.2">
      <c r="C41" s="250"/>
      <c r="D41" s="162"/>
      <c r="E41" s="167"/>
      <c r="F41" s="332"/>
      <c r="G41" s="332"/>
      <c r="H41" s="332"/>
      <c r="I41" s="332"/>
      <c r="J41" s="332"/>
      <c r="K41" s="332"/>
      <c r="L41" s="119"/>
    </row>
    <row r="42" spans="1:12" s="53" customFormat="1" ht="15" customHeight="1" x14ac:dyDescent="0.2">
      <c r="B42" s="218" t="s">
        <v>89</v>
      </c>
      <c r="C42" s="233"/>
      <c r="D42" s="162">
        <v>2016</v>
      </c>
      <c r="E42" s="167">
        <f t="shared" si="8"/>
        <v>1872</v>
      </c>
      <c r="F42" s="320">
        <v>336</v>
      </c>
      <c r="G42" s="320">
        <v>58</v>
      </c>
      <c r="H42" s="303">
        <v>191</v>
      </c>
      <c r="I42" s="320">
        <v>917</v>
      </c>
      <c r="J42" s="320">
        <v>61</v>
      </c>
      <c r="K42" s="320">
        <v>309</v>
      </c>
      <c r="L42" s="119"/>
    </row>
    <row r="43" spans="1:12" s="53" customFormat="1" ht="15" customHeight="1" x14ac:dyDescent="0.2">
      <c r="B43" s="294"/>
      <c r="C43" s="233"/>
      <c r="D43" s="162">
        <v>2017</v>
      </c>
      <c r="E43" s="167">
        <f t="shared" si="8"/>
        <v>1581</v>
      </c>
      <c r="F43" s="320">
        <v>305</v>
      </c>
      <c r="G43" s="320">
        <v>22</v>
      </c>
      <c r="H43" s="303">
        <v>149</v>
      </c>
      <c r="I43" s="320">
        <v>817</v>
      </c>
      <c r="J43" s="320">
        <v>3</v>
      </c>
      <c r="K43" s="320">
        <v>285</v>
      </c>
      <c r="L43" s="119"/>
    </row>
    <row r="44" spans="1:12" s="53" customFormat="1" ht="15" customHeight="1" x14ac:dyDescent="0.25">
      <c r="A44" s="119"/>
      <c r="B44" s="218"/>
      <c r="C44" s="233"/>
      <c r="D44" s="162">
        <v>2018</v>
      </c>
      <c r="E44" s="167">
        <f t="shared" si="8"/>
        <v>1476</v>
      </c>
      <c r="F44" s="336">
        <v>306</v>
      </c>
      <c r="G44" s="336">
        <v>20</v>
      </c>
      <c r="H44" s="336">
        <v>140</v>
      </c>
      <c r="I44" s="336">
        <v>754</v>
      </c>
      <c r="J44" s="336">
        <v>1</v>
      </c>
      <c r="K44" s="336">
        <v>255</v>
      </c>
      <c r="L44" s="119"/>
    </row>
    <row r="45" spans="1:12" s="53" customFormat="1" ht="15" customHeight="1" x14ac:dyDescent="0.2">
      <c r="C45" s="250"/>
      <c r="D45" s="162"/>
      <c r="E45" s="167"/>
      <c r="F45" s="332"/>
      <c r="G45" s="332"/>
      <c r="H45" s="332"/>
      <c r="I45" s="332"/>
      <c r="J45" s="332"/>
      <c r="K45" s="332"/>
      <c r="L45" s="119"/>
    </row>
    <row r="46" spans="1:12" s="53" customFormat="1" ht="15" customHeight="1" x14ac:dyDescent="0.2">
      <c r="B46" s="218" t="s">
        <v>90</v>
      </c>
      <c r="C46" s="233"/>
      <c r="D46" s="162">
        <v>2016</v>
      </c>
      <c r="E46" s="167">
        <f t="shared" si="8"/>
        <v>988</v>
      </c>
      <c r="F46" s="320">
        <v>198</v>
      </c>
      <c r="G46" s="320">
        <v>25</v>
      </c>
      <c r="H46" s="303">
        <v>71</v>
      </c>
      <c r="I46" s="320">
        <v>497</v>
      </c>
      <c r="J46" s="320">
        <v>28</v>
      </c>
      <c r="K46" s="320">
        <v>169</v>
      </c>
      <c r="L46" s="119"/>
    </row>
    <row r="47" spans="1:12" s="53" customFormat="1" ht="15" customHeight="1" x14ac:dyDescent="0.2">
      <c r="A47" s="118"/>
      <c r="B47" s="294"/>
      <c r="C47" s="233"/>
      <c r="D47" s="162">
        <v>2017</v>
      </c>
      <c r="E47" s="167">
        <f t="shared" si="8"/>
        <v>948</v>
      </c>
      <c r="F47" s="320">
        <v>165</v>
      </c>
      <c r="G47" s="320">
        <v>15</v>
      </c>
      <c r="H47" s="303">
        <v>81</v>
      </c>
      <c r="I47" s="320">
        <v>544</v>
      </c>
      <c r="J47" s="320">
        <v>4</v>
      </c>
      <c r="K47" s="320">
        <v>139</v>
      </c>
      <c r="L47" s="119"/>
    </row>
    <row r="48" spans="1:12" s="53" customFormat="1" ht="15" customHeight="1" x14ac:dyDescent="0.25">
      <c r="A48" s="119"/>
      <c r="B48" s="218"/>
      <c r="C48" s="233"/>
      <c r="D48" s="162">
        <v>2018</v>
      </c>
      <c r="E48" s="167">
        <f t="shared" si="8"/>
        <v>853</v>
      </c>
      <c r="F48" s="336">
        <v>160</v>
      </c>
      <c r="G48" s="336">
        <v>15</v>
      </c>
      <c r="H48" s="336">
        <v>58</v>
      </c>
      <c r="I48" s="336">
        <v>488</v>
      </c>
      <c r="J48" s="336">
        <v>7</v>
      </c>
      <c r="K48" s="336">
        <v>125</v>
      </c>
      <c r="L48" s="119"/>
    </row>
    <row r="49" spans="1:12" s="53" customFormat="1" ht="15" customHeight="1" x14ac:dyDescent="0.2">
      <c r="C49" s="250"/>
      <c r="D49" s="162"/>
      <c r="E49" s="167"/>
      <c r="F49" s="332"/>
      <c r="G49" s="332"/>
      <c r="H49" s="332"/>
      <c r="I49" s="332"/>
      <c r="J49" s="332"/>
      <c r="K49" s="332"/>
      <c r="L49" s="119"/>
    </row>
    <row r="50" spans="1:12" s="86" customFormat="1" ht="15" customHeight="1" x14ac:dyDescent="0.2">
      <c r="A50" s="53"/>
      <c r="B50" s="218" t="s">
        <v>91</v>
      </c>
      <c r="C50" s="233"/>
      <c r="D50" s="162">
        <v>2016</v>
      </c>
      <c r="E50" s="167">
        <f t="shared" si="8"/>
        <v>1400</v>
      </c>
      <c r="F50" s="320">
        <v>210</v>
      </c>
      <c r="G50" s="320">
        <v>12</v>
      </c>
      <c r="H50" s="303">
        <v>116</v>
      </c>
      <c r="I50" s="320">
        <v>627</v>
      </c>
      <c r="J50" s="320">
        <v>77</v>
      </c>
      <c r="K50" s="320">
        <v>358</v>
      </c>
    </row>
    <row r="51" spans="1:12" s="119" customFormat="1" ht="15" customHeight="1" x14ac:dyDescent="0.2">
      <c r="A51" s="53"/>
      <c r="B51" s="294"/>
      <c r="C51" s="233"/>
      <c r="D51" s="162">
        <v>2017</v>
      </c>
      <c r="E51" s="167">
        <f t="shared" si="8"/>
        <v>1177</v>
      </c>
      <c r="F51" s="320">
        <v>194</v>
      </c>
      <c r="G51" s="320">
        <v>17</v>
      </c>
      <c r="H51" s="303">
        <v>66</v>
      </c>
      <c r="I51" s="320">
        <v>629</v>
      </c>
      <c r="J51" s="320" t="s">
        <v>51</v>
      </c>
      <c r="K51" s="320">
        <v>271</v>
      </c>
    </row>
    <row r="52" spans="1:12" s="53" customFormat="1" ht="15" customHeight="1" x14ac:dyDescent="0.25">
      <c r="A52" s="119"/>
      <c r="B52" s="218"/>
      <c r="C52" s="233"/>
      <c r="D52" s="162">
        <v>2018</v>
      </c>
      <c r="E52" s="167">
        <f t="shared" si="8"/>
        <v>1080</v>
      </c>
      <c r="F52" s="336">
        <v>193</v>
      </c>
      <c r="G52" s="336">
        <v>25</v>
      </c>
      <c r="H52" s="336">
        <v>92</v>
      </c>
      <c r="I52" s="336">
        <v>485</v>
      </c>
      <c r="J52" s="336">
        <v>1</v>
      </c>
      <c r="K52" s="336">
        <v>284</v>
      </c>
      <c r="L52" s="119"/>
    </row>
    <row r="53" spans="1:12" ht="8.1" customHeight="1" thickBot="1" x14ac:dyDescent="0.25">
      <c r="A53" s="34"/>
      <c r="B53" s="74"/>
      <c r="C53" s="295"/>
      <c r="D53" s="134"/>
      <c r="E53" s="12"/>
      <c r="F53" s="33"/>
      <c r="G53" s="33"/>
      <c r="H53" s="12"/>
      <c r="I53" s="33"/>
      <c r="J53" s="12"/>
      <c r="K53" s="33"/>
      <c r="L53" s="34"/>
    </row>
    <row r="54" spans="1:12" x14ac:dyDescent="0.25">
      <c r="B54" s="266"/>
      <c r="C54" s="266"/>
      <c r="D54" s="266"/>
      <c r="E54" s="269"/>
      <c r="F54" s="399"/>
      <c r="G54" s="399"/>
      <c r="H54" s="399"/>
      <c r="I54" s="410"/>
      <c r="J54" s="399"/>
      <c r="K54" s="175" t="s">
        <v>101</v>
      </c>
    </row>
    <row r="55" spans="1:12" x14ac:dyDescent="0.25">
      <c r="B55" s="7"/>
      <c r="C55" s="7"/>
      <c r="D55" s="7"/>
      <c r="E55" s="269"/>
      <c r="F55" s="399"/>
      <c r="G55" s="399"/>
      <c r="H55" s="399"/>
      <c r="I55" s="399"/>
      <c r="J55" s="399"/>
      <c r="K55" s="176" t="s">
        <v>1</v>
      </c>
    </row>
    <row r="56" spans="1:12" x14ac:dyDescent="0.25">
      <c r="B56" s="2"/>
      <c r="C56" s="2"/>
      <c r="F56" s="401"/>
      <c r="G56" s="401"/>
      <c r="H56" s="402"/>
      <c r="I56" s="401"/>
      <c r="J56" s="15"/>
      <c r="K56" s="15"/>
    </row>
    <row r="57" spans="1:12" x14ac:dyDescent="0.25">
      <c r="B57" s="2"/>
      <c r="C57" s="2"/>
      <c r="F57" s="401"/>
      <c r="G57" s="401"/>
      <c r="H57" s="402"/>
      <c r="I57" s="401"/>
      <c r="J57" s="15"/>
      <c r="K57" s="15"/>
    </row>
    <row r="58" spans="1:12" x14ac:dyDescent="0.25">
      <c r="B58" s="2"/>
      <c r="C58" s="2"/>
    </row>
    <row r="59" spans="1:12" x14ac:dyDescent="0.25">
      <c r="B59" s="2"/>
      <c r="C59" s="2"/>
    </row>
    <row r="60" spans="1:12" x14ac:dyDescent="0.25">
      <c r="B60" s="2"/>
      <c r="C60" s="2"/>
    </row>
    <row r="61" spans="1:12" x14ac:dyDescent="0.25">
      <c r="B61" s="2"/>
      <c r="C61" s="2"/>
    </row>
    <row r="62" spans="1:12" x14ac:dyDescent="0.25">
      <c r="B62" s="2"/>
      <c r="C62" s="2"/>
    </row>
    <row r="63" spans="1:12" x14ac:dyDescent="0.25">
      <c r="B63" s="2"/>
      <c r="C63" s="2"/>
    </row>
    <row r="64" spans="1:12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showGridLines="0" tabSelected="1" topLeftCell="A13" zoomScale="80" zoomScaleNormal="80" zoomScaleSheetLayoutView="100" workbookViewId="0">
      <selection activeCell="J23" sqref="J23"/>
    </sheetView>
  </sheetViews>
  <sheetFormatPr defaultRowHeight="15" x14ac:dyDescent="0.25"/>
  <cols>
    <col min="1" max="1" width="1" style="2" customWidth="1"/>
    <col min="2" max="2" width="10.28515625" style="3" customWidth="1"/>
    <col min="3" max="3" width="12" style="3" customWidth="1"/>
    <col min="4" max="4" width="10" style="3" customWidth="1"/>
    <col min="5" max="5" width="10.42578125" style="4" customWidth="1"/>
    <col min="6" max="6" width="11.7109375" style="5" customWidth="1"/>
    <col min="7" max="7" width="10.5703125" style="5" customWidth="1"/>
    <col min="8" max="8" width="10.85546875" style="209" customWidth="1"/>
    <col min="9" max="9" width="12.28515625" style="5" customWidth="1"/>
    <col min="10" max="10" width="10.42578125" style="2" customWidth="1"/>
    <col min="11" max="11" width="11.7109375" style="2" customWidth="1"/>
    <col min="12" max="12" width="0.8554687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96"/>
      <c r="E12" s="286"/>
      <c r="F12" s="287"/>
      <c r="G12" s="286"/>
      <c r="H12" s="286"/>
      <c r="I12" s="286"/>
      <c r="J12" s="287"/>
      <c r="K12" s="286"/>
    </row>
    <row r="13" spans="1:12" s="53" customFormat="1" ht="15" customHeight="1" x14ac:dyDescent="0.2">
      <c r="B13" s="64" t="s">
        <v>155</v>
      </c>
      <c r="C13" s="127"/>
      <c r="D13" s="65">
        <v>2016</v>
      </c>
      <c r="E13" s="166">
        <f>SUM(F13:K13)</f>
        <v>4720</v>
      </c>
      <c r="F13" s="166">
        <f>SUM(F17,F21,F25,F29,F33,F37,F41,F45,F49,'1.7Sabah (2)'!F15,'1.7Sabah (2)'!F19,'1.7Sabah (2)'!F23,'1.7Sabah (2)'!F27,'1.7Sabah (2)'!F31,'1.7Sabah (2)'!F35,'1.7Sabah (2)'!F39,'1.7Sabah (2)'!F43,'1.7Sabah (2)'!F47,'1.7Sabah (2)'!F51,'1.7Sabah (2)'!F55)</f>
        <v>1757</v>
      </c>
      <c r="G13" s="166">
        <f>SUM(G17,G21,G25,G29,G33,G37,G41,G45,G49,'1.7Sabah (2)'!G15,'1.7Sabah (2)'!G19,'1.7Sabah (2)'!G23,'1.7Sabah (2)'!G27,'1.7Sabah (2)'!G31,'1.7Sabah (2)'!G35,'1.7Sabah (2)'!G39,'1.7Sabah (2)'!G43,'1.7Sabah (2)'!G47,'1.7Sabah (2)'!G51,'1.7Sabah (2)'!G55)</f>
        <v>136</v>
      </c>
      <c r="H13" s="166">
        <f>SUM(H17,H21,H25,H29,H33,H37,H41,H45,H49,'1.7Sabah (2)'!H15,'1.7Sabah (2)'!H19,'1.7Sabah (2)'!H23,'1.7Sabah (2)'!H27,'1.7Sabah (2)'!H31,'1.7Sabah (2)'!H35,'1.7Sabah (2)'!H39,'1.7Sabah (2)'!H43,'1.7Sabah (2)'!H47,'1.7Sabah (2)'!H51,'1.7Sabah (2)'!H55)</f>
        <v>233</v>
      </c>
      <c r="I13" s="166">
        <f>SUM(I17,I21,I25,I29,I33,I37,I41,I45,I49,'1.7Sabah (2)'!I15,'1.7Sabah (2)'!I19,'1.7Sabah (2)'!I23,'1.7Sabah (2)'!I27,'1.7Sabah (2)'!I31,'1.7Sabah (2)'!I35,'1.7Sabah (2)'!I39,'1.7Sabah (2)'!I43,'1.7Sabah (2)'!I47,'1.7Sabah (2)'!I51,'1.7Sabah (2)'!I55)</f>
        <v>850</v>
      </c>
      <c r="J13" s="166">
        <f>SUM(J17,J21,J25,J29,J33,J37,J41,J45,J49,'1.7Sabah (2)'!J15,'1.7Sabah (2)'!J19,'1.7Sabah (2)'!J23,'1.7Sabah (2)'!J27,'1.7Sabah (2)'!J31,'1.7Sabah (2)'!J35,'1.7Sabah (2)'!J39,'1.7Sabah (2)'!J43,'1.7Sabah (2)'!J47,'1.7Sabah (2)'!J51,'1.7Sabah (2)'!J55)</f>
        <v>96</v>
      </c>
      <c r="K13" s="166">
        <f>SUM(K17,K21,K25,K29,K33,K37,K41,K45,K49,'1.7Sabah (2)'!K15,'1.7Sabah (2)'!K19,'1.7Sabah (2)'!K23,'1.7Sabah (2)'!K27,'1.7Sabah (2)'!K31,'1.7Sabah (2)'!K35,'1.7Sabah (2)'!K39,'1.7Sabah (2)'!K43,'1.7Sabah (2)'!K47,'1.7Sabah (2)'!K51,'1.7Sabah (2)'!K55)</f>
        <v>1648</v>
      </c>
    </row>
    <row r="14" spans="1:12" s="53" customFormat="1" ht="15" customHeight="1" x14ac:dyDescent="0.2">
      <c r="B14" s="127"/>
      <c r="C14" s="127"/>
      <c r="D14" s="65">
        <v>2017</v>
      </c>
      <c r="E14" s="166">
        <f>SUM(F14:K14)</f>
        <v>5475</v>
      </c>
      <c r="F14" s="166">
        <f>SUM(F18,F22,F26,F30,F34,F38,F42,F46,F50,'1.7Sabah (2)'!F16,'1.7Sabah (2)'!F20,'1.7Sabah (2)'!F24,'1.7Sabah (2)'!F28,'1.7Sabah (2)'!F32,'1.7Sabah (2)'!F36,'1.7Sabah (2)'!F40,'1.7Sabah (2)'!F44,'1.7Sabah (2)'!F48,'1.7Sabah (2)'!F52,'1.7Sabah (2)'!F56)</f>
        <v>1908</v>
      </c>
      <c r="G14" s="166">
        <f>SUM(G18,G22,G26,G30,G34,G38,G42,G46,G50,'1.7Sabah (2)'!G16,'1.7Sabah (2)'!G20,'1.7Sabah (2)'!G24,'1.7Sabah (2)'!G28,'1.7Sabah (2)'!G32,'1.7Sabah (2)'!G36,'1.7Sabah (2)'!G40,'1.7Sabah (2)'!G44,'1.7Sabah (2)'!G48,'1.7Sabah (2)'!G52,'1.7Sabah (2)'!G56)</f>
        <v>116</v>
      </c>
      <c r="H14" s="166">
        <f>SUM(H18,H22,H26,H30,H34,H38,H42,H46,H50,'1.7Sabah (2)'!H16,'1.7Sabah (2)'!H20,'1.7Sabah (2)'!H24,'1.7Sabah (2)'!H28,'1.7Sabah (2)'!H32,'1.7Sabah (2)'!H36,'1.7Sabah (2)'!H40,'1.7Sabah (2)'!H44,'1.7Sabah (2)'!H48,'1.7Sabah (2)'!H52,'1.7Sabah (2)'!H56)</f>
        <v>244</v>
      </c>
      <c r="I14" s="166">
        <f>SUM(I18,I22,I26,I30,I34,I38,I42,I46,I50,'1.7Sabah (2)'!I16,'1.7Sabah (2)'!I20,'1.7Sabah (2)'!I24,'1.7Sabah (2)'!I28,'1.7Sabah (2)'!I32,'1.7Sabah (2)'!I36,'1.7Sabah (2)'!I40,'1.7Sabah (2)'!I44,'1.7Sabah (2)'!I48,'1.7Sabah (2)'!I52,'1.7Sabah (2)'!I56)</f>
        <v>666</v>
      </c>
      <c r="J14" s="166">
        <f>SUM(J18,J22,J26,J30,J34,J38,J42,J46,J50,'1.7Sabah (2)'!J16,'1.7Sabah (2)'!J20,'1.7Sabah (2)'!J24,'1.7Sabah (2)'!J28,'1.7Sabah (2)'!J32,'1.7Sabah (2)'!J36,'1.7Sabah (2)'!J40,'1.7Sabah (2)'!J44,'1.7Sabah (2)'!J48,'1.7Sabah (2)'!J52,'1.7Sabah (2)'!J56)</f>
        <v>23</v>
      </c>
      <c r="K14" s="166">
        <f>SUM(K18,K22,K26,K30,K34,K38,K42,K46,K50,'1.7Sabah (2)'!K16,'1.7Sabah (2)'!K20,'1.7Sabah (2)'!K24,'1.7Sabah (2)'!K28,'1.7Sabah (2)'!K32,'1.7Sabah (2)'!K36,'1.7Sabah (2)'!K40,'1.7Sabah (2)'!K44,'1.7Sabah (2)'!K48,'1.7Sabah (2)'!K52,'1.7Sabah (2)'!K56)</f>
        <v>2518</v>
      </c>
    </row>
    <row r="15" spans="1:12" s="53" customFormat="1" ht="15" customHeight="1" x14ac:dyDescent="0.2">
      <c r="B15" s="127"/>
      <c r="C15" s="127"/>
      <c r="D15" s="65">
        <v>2018</v>
      </c>
      <c r="E15" s="166">
        <f>SUM(F15:K15)</f>
        <v>5571</v>
      </c>
      <c r="F15" s="166">
        <f>SUM(F19,F23,F27,F31,F35,F39,F43,F47,F51,'1.7Sabah (2)'!F17,'1.7Sabah (2)'!F21,'1.7Sabah (2)'!F25,'1.7Sabah (2)'!F29,'1.7Sabah (2)'!F33,'1.7Sabah (2)'!F37,'1.7Sabah (2)'!F41,'1.7Sabah (2)'!F45,'1.7Sabah (2)'!F49,'1.7Sabah (2)'!F53,'1.7Sabah (2)'!F57)</f>
        <v>1881</v>
      </c>
      <c r="G15" s="166">
        <f>SUM(G19,G23,G27,G31,G35,G39,G43,G47,G51,'1.7Sabah (2)'!G17,'1.7Sabah (2)'!G21,'1.7Sabah (2)'!G25,'1.7Sabah (2)'!G29,'1.7Sabah (2)'!G33,'1.7Sabah (2)'!G37,'1.7Sabah (2)'!G41,'1.7Sabah (2)'!G45,'1.7Sabah (2)'!G49,'1.7Sabah (2)'!G53,'1.7Sabah (2)'!G57)</f>
        <v>74</v>
      </c>
      <c r="H15" s="166">
        <f>SUM(H19,H23,H27,H31,H35,H39,H43,H47,H51,'1.7Sabah (2)'!H17,'1.7Sabah (2)'!H21,'1.7Sabah (2)'!H25,'1.7Sabah (2)'!H29,'1.7Sabah (2)'!H33,'1.7Sabah (2)'!H37,'1.7Sabah (2)'!H41,'1.7Sabah (2)'!H45,'1.7Sabah (2)'!H49,'1.7Sabah (2)'!H53,'1.7Sabah (2)'!H57)</f>
        <v>160</v>
      </c>
      <c r="I15" s="166">
        <f>SUM(I19,I23,I27,I31,I35,I39,I43,I47,I51,'1.7Sabah (2)'!I17,'1.7Sabah (2)'!I21,'1.7Sabah (2)'!I25,'1.7Sabah (2)'!I29,'1.7Sabah (2)'!I33,'1.7Sabah (2)'!I37,'1.7Sabah (2)'!I41,'1.7Sabah (2)'!I45,'1.7Sabah (2)'!I49,'1.7Sabah (2)'!I53,'1.7Sabah (2)'!I57)</f>
        <v>504</v>
      </c>
      <c r="J15" s="166">
        <f>SUM(J19,J23,J27,J31,J35,J39,J43,J47,J51,'1.7Sabah (2)'!J17,'1.7Sabah (2)'!J21,'1.7Sabah (2)'!J25,'1.7Sabah (2)'!J29,'1.7Sabah (2)'!J33,'1.7Sabah (2)'!J37,'1.7Sabah (2)'!J41,'1.7Sabah (2)'!J45,'1.7Sabah (2)'!J49,'1.7Sabah (2)'!J53,'1.7Sabah (2)'!J57)</f>
        <v>6</v>
      </c>
      <c r="K15" s="166">
        <f>SUM(K19,K23,K27,K31,K35,K39,K43,K47,K51,'1.7Sabah (2)'!K17,'1.7Sabah (2)'!K21,'1.7Sabah (2)'!K25,'1.7Sabah (2)'!K29,'1.7Sabah (2)'!K33,'1.7Sabah (2)'!K37,'1.7Sabah (2)'!K41,'1.7Sabah (2)'!K45,'1.7Sabah (2)'!K49,'1.7Sabah (2)'!K53,'1.7Sabah (2)'!K57)</f>
        <v>2946</v>
      </c>
    </row>
    <row r="16" spans="1:12" s="53" customFormat="1" ht="15" customHeight="1" x14ac:dyDescent="0.2">
      <c r="B16" s="127"/>
      <c r="C16" s="127"/>
      <c r="D16" s="65"/>
      <c r="E16" s="166"/>
      <c r="F16" s="166"/>
      <c r="G16" s="166"/>
      <c r="H16" s="166"/>
      <c r="I16" s="166"/>
      <c r="J16" s="166"/>
      <c r="K16" s="166"/>
    </row>
    <row r="17" spans="1:14" s="53" customFormat="1" ht="15" customHeight="1" x14ac:dyDescent="0.2">
      <c r="B17" s="58" t="s">
        <v>156</v>
      </c>
      <c r="C17" s="58"/>
      <c r="D17" s="162">
        <v>2016</v>
      </c>
      <c r="E17" s="167">
        <f t="shared" ref="E17:E18" si="0">SUM(F17:K17)</f>
        <v>119</v>
      </c>
      <c r="F17" s="334">
        <v>48</v>
      </c>
      <c r="G17" s="334">
        <v>3</v>
      </c>
      <c r="H17" s="334">
        <v>4</v>
      </c>
      <c r="I17" s="334">
        <v>22</v>
      </c>
      <c r="J17" s="335" t="s">
        <v>51</v>
      </c>
      <c r="K17" s="334">
        <v>42</v>
      </c>
    </row>
    <row r="18" spans="1:14" s="53" customFormat="1" ht="15" customHeight="1" x14ac:dyDescent="0.2">
      <c r="A18" s="119"/>
      <c r="B18" s="281"/>
      <c r="C18" s="281"/>
      <c r="D18" s="162">
        <v>2017</v>
      </c>
      <c r="E18" s="167">
        <f t="shared" si="0"/>
        <v>136</v>
      </c>
      <c r="F18" s="334">
        <f>50+1</f>
        <v>51</v>
      </c>
      <c r="G18" s="334">
        <v>1</v>
      </c>
      <c r="H18" s="334">
        <v>5</v>
      </c>
      <c r="I18" s="334">
        <v>20</v>
      </c>
      <c r="J18" s="335" t="s">
        <v>51</v>
      </c>
      <c r="K18" s="334">
        <f>1+1+2+30+25</f>
        <v>59</v>
      </c>
    </row>
    <row r="19" spans="1:14" s="118" customFormat="1" ht="15" customHeight="1" x14ac:dyDescent="0.2">
      <c r="A19" s="53"/>
      <c r="B19" s="281"/>
      <c r="C19" s="281"/>
      <c r="D19" s="162">
        <v>2018</v>
      </c>
      <c r="E19" s="167">
        <f>SUM(F19:K19)</f>
        <v>176</v>
      </c>
      <c r="F19" s="391">
        <v>69</v>
      </c>
      <c r="G19" s="390" t="s">
        <v>51</v>
      </c>
      <c r="H19" s="391">
        <v>1</v>
      </c>
      <c r="I19" s="391">
        <v>14</v>
      </c>
      <c r="J19" s="390" t="s">
        <v>51</v>
      </c>
      <c r="K19" s="391">
        <v>92</v>
      </c>
      <c r="L19" s="53"/>
      <c r="M19" s="53"/>
      <c r="N19" s="53"/>
    </row>
    <row r="20" spans="1:14" s="118" customFormat="1" ht="15" customHeight="1" x14ac:dyDescent="0.2">
      <c r="A20" s="53"/>
      <c r="B20" s="281"/>
      <c r="C20" s="281"/>
      <c r="D20" s="162"/>
      <c r="E20" s="167"/>
      <c r="F20" s="334"/>
      <c r="G20" s="334"/>
      <c r="H20" s="334"/>
      <c r="I20" s="334"/>
      <c r="J20" s="334"/>
      <c r="K20" s="334"/>
      <c r="L20" s="53"/>
      <c r="M20" s="53"/>
      <c r="N20" s="53"/>
    </row>
    <row r="21" spans="1:14" s="53" customFormat="1" ht="15" customHeight="1" x14ac:dyDescent="0.2">
      <c r="B21" s="58" t="s">
        <v>157</v>
      </c>
      <c r="C21" s="58"/>
      <c r="D21" s="162">
        <v>2016</v>
      </c>
      <c r="E21" s="167">
        <f t="shared" ref="E21:E22" si="1">SUM(F21:K21)</f>
        <v>42</v>
      </c>
      <c r="F21" s="334">
        <v>19</v>
      </c>
      <c r="G21" s="335" t="s">
        <v>51</v>
      </c>
      <c r="H21" s="335" t="s">
        <v>51</v>
      </c>
      <c r="I21" s="334">
        <v>16</v>
      </c>
      <c r="J21" s="334">
        <v>1</v>
      </c>
      <c r="K21" s="334">
        <v>6</v>
      </c>
    </row>
    <row r="22" spans="1:14" s="53" customFormat="1" ht="15" customHeight="1" x14ac:dyDescent="0.2">
      <c r="B22" s="281"/>
      <c r="C22" s="281"/>
      <c r="D22" s="162">
        <v>2017</v>
      </c>
      <c r="E22" s="167">
        <f t="shared" si="1"/>
        <v>56</v>
      </c>
      <c r="F22" s="334">
        <f>20+1</f>
        <v>21</v>
      </c>
      <c r="G22" s="334">
        <v>1</v>
      </c>
      <c r="H22" s="335" t="s">
        <v>51</v>
      </c>
      <c r="I22" s="334">
        <v>19</v>
      </c>
      <c r="J22" s="335" t="s">
        <v>51</v>
      </c>
      <c r="K22" s="334">
        <f>2+2+1+10</f>
        <v>15</v>
      </c>
    </row>
    <row r="23" spans="1:14" s="53" customFormat="1" ht="15" customHeight="1" x14ac:dyDescent="0.2">
      <c r="B23" s="281"/>
      <c r="C23" s="281"/>
      <c r="D23" s="162">
        <v>2018</v>
      </c>
      <c r="E23" s="167">
        <f>SUM(F23:K23)</f>
        <v>61</v>
      </c>
      <c r="F23" s="391">
        <v>21</v>
      </c>
      <c r="G23" s="391">
        <v>3</v>
      </c>
      <c r="H23" s="391">
        <v>2</v>
      </c>
      <c r="I23" s="391">
        <v>12</v>
      </c>
      <c r="J23" s="390" t="s">
        <v>51</v>
      </c>
      <c r="K23" s="391">
        <v>23</v>
      </c>
    </row>
    <row r="24" spans="1:14" s="53" customFormat="1" ht="15" customHeight="1" x14ac:dyDescent="0.2">
      <c r="B24" s="281"/>
      <c r="C24" s="281"/>
      <c r="D24" s="162"/>
      <c r="E24" s="167"/>
      <c r="F24" s="334"/>
      <c r="G24" s="334"/>
      <c r="H24" s="334"/>
      <c r="I24" s="334"/>
      <c r="J24" s="334"/>
      <c r="K24" s="334"/>
    </row>
    <row r="25" spans="1:14" s="53" customFormat="1" ht="15" customHeight="1" x14ac:dyDescent="0.2">
      <c r="B25" s="58" t="s">
        <v>158</v>
      </c>
      <c r="C25" s="58"/>
      <c r="D25" s="162">
        <v>2016</v>
      </c>
      <c r="E25" s="167">
        <f t="shared" ref="E25:E26" si="2">SUM(F25:K25)</f>
        <v>169</v>
      </c>
      <c r="F25" s="334">
        <v>46</v>
      </c>
      <c r="G25" s="334">
        <v>16</v>
      </c>
      <c r="H25" s="334">
        <v>8</v>
      </c>
      <c r="I25" s="334">
        <v>30</v>
      </c>
      <c r="J25" s="334">
        <v>4</v>
      </c>
      <c r="K25" s="334">
        <v>65</v>
      </c>
    </row>
    <row r="26" spans="1:14" s="53" customFormat="1" ht="15" customHeight="1" x14ac:dyDescent="0.2">
      <c r="B26" s="281"/>
      <c r="C26" s="281"/>
      <c r="D26" s="162">
        <v>2017</v>
      </c>
      <c r="E26" s="167">
        <f t="shared" si="2"/>
        <v>161</v>
      </c>
      <c r="F26" s="334">
        <f>37+10</f>
        <v>47</v>
      </c>
      <c r="G26" s="334">
        <f>3+3</f>
        <v>6</v>
      </c>
      <c r="H26" s="334">
        <v>8</v>
      </c>
      <c r="I26" s="334">
        <v>29</v>
      </c>
      <c r="J26" s="334">
        <v>4</v>
      </c>
      <c r="K26" s="334">
        <f>7+13+29+18</f>
        <v>67</v>
      </c>
    </row>
    <row r="27" spans="1:14" s="53" customFormat="1" ht="15" customHeight="1" x14ac:dyDescent="0.2">
      <c r="B27" s="281"/>
      <c r="C27" s="281"/>
      <c r="D27" s="162">
        <v>2018</v>
      </c>
      <c r="E27" s="167">
        <f>SUM(F27:K27)</f>
        <v>148</v>
      </c>
      <c r="F27" s="391">
        <v>41</v>
      </c>
      <c r="G27" s="391">
        <v>9</v>
      </c>
      <c r="H27" s="391">
        <v>6</v>
      </c>
      <c r="I27" s="391">
        <v>21</v>
      </c>
      <c r="J27" s="391">
        <v>1</v>
      </c>
      <c r="K27" s="391">
        <v>70</v>
      </c>
    </row>
    <row r="28" spans="1:14" s="53" customFormat="1" ht="15" customHeight="1" x14ac:dyDescent="0.2">
      <c r="B28" s="281"/>
      <c r="C28" s="281"/>
      <c r="D28" s="162"/>
      <c r="E28" s="167"/>
      <c r="F28" s="334"/>
      <c r="G28" s="334"/>
      <c r="H28" s="334"/>
      <c r="I28" s="334"/>
      <c r="J28" s="334"/>
      <c r="K28" s="334"/>
    </row>
    <row r="29" spans="1:14" s="53" customFormat="1" ht="15" customHeight="1" x14ac:dyDescent="0.2">
      <c r="B29" s="58" t="s">
        <v>159</v>
      </c>
      <c r="C29" s="58"/>
      <c r="D29" s="162">
        <v>2016</v>
      </c>
      <c r="E29" s="167">
        <f t="shared" ref="E29:E30" si="3">SUM(F29:K29)</f>
        <v>132</v>
      </c>
      <c r="F29" s="334">
        <v>42</v>
      </c>
      <c r="G29" s="335" t="s">
        <v>51</v>
      </c>
      <c r="H29" s="334">
        <v>1</v>
      </c>
      <c r="I29" s="334">
        <v>14</v>
      </c>
      <c r="J29" s="335" t="s">
        <v>51</v>
      </c>
      <c r="K29" s="334">
        <v>75</v>
      </c>
    </row>
    <row r="30" spans="1:14" s="53" customFormat="1" ht="15" customHeight="1" x14ac:dyDescent="0.2">
      <c r="B30" s="281"/>
      <c r="C30" s="281"/>
      <c r="D30" s="162">
        <v>2017</v>
      </c>
      <c r="E30" s="167">
        <f t="shared" si="3"/>
        <v>184</v>
      </c>
      <c r="F30" s="334">
        <f>44+5</f>
        <v>49</v>
      </c>
      <c r="G30" s="335" t="s">
        <v>51</v>
      </c>
      <c r="H30" s="334">
        <v>1</v>
      </c>
      <c r="I30" s="334">
        <v>14</v>
      </c>
      <c r="J30" s="334">
        <v>1</v>
      </c>
      <c r="K30" s="334">
        <f>1+7+5+35+70+1</f>
        <v>119</v>
      </c>
    </row>
    <row r="31" spans="1:14" s="53" customFormat="1" ht="15" customHeight="1" x14ac:dyDescent="0.2">
      <c r="B31" s="281"/>
      <c r="C31" s="281"/>
      <c r="D31" s="162">
        <v>2018</v>
      </c>
      <c r="E31" s="167">
        <f>SUM(F31:K31)</f>
        <v>161</v>
      </c>
      <c r="F31" s="391">
        <v>40</v>
      </c>
      <c r="G31" s="390" t="s">
        <v>51</v>
      </c>
      <c r="H31" s="391">
        <v>1</v>
      </c>
      <c r="I31" s="391">
        <v>10</v>
      </c>
      <c r="J31" s="390" t="s">
        <v>51</v>
      </c>
      <c r="K31" s="391">
        <v>110</v>
      </c>
    </row>
    <row r="32" spans="1:14" s="53" customFormat="1" ht="15" customHeight="1" x14ac:dyDescent="0.2">
      <c r="B32" s="281"/>
      <c r="C32" s="281"/>
      <c r="D32" s="162"/>
      <c r="E32" s="167"/>
      <c r="F32" s="334"/>
      <c r="G32" s="334"/>
      <c r="H32" s="334"/>
      <c r="I32" s="334"/>
      <c r="J32" s="334"/>
      <c r="K32" s="334"/>
    </row>
    <row r="33" spans="2:11" s="53" customFormat="1" ht="15" customHeight="1" x14ac:dyDescent="0.2">
      <c r="B33" s="58" t="s">
        <v>160</v>
      </c>
      <c r="C33" s="58"/>
      <c r="D33" s="162">
        <v>2016</v>
      </c>
      <c r="E33" s="167">
        <f t="shared" ref="E33:E34" si="4">SUM(F33:K33)</f>
        <v>1245</v>
      </c>
      <c r="F33" s="334">
        <v>363</v>
      </c>
      <c r="G33" s="334">
        <v>53</v>
      </c>
      <c r="H33" s="334">
        <v>77</v>
      </c>
      <c r="I33" s="334">
        <v>203</v>
      </c>
      <c r="J33" s="334">
        <v>39</v>
      </c>
      <c r="K33" s="334">
        <v>510</v>
      </c>
    </row>
    <row r="34" spans="2:11" s="53" customFormat="1" ht="15" customHeight="1" x14ac:dyDescent="0.2">
      <c r="B34" s="281"/>
      <c r="C34" s="281"/>
      <c r="D34" s="162">
        <v>2017</v>
      </c>
      <c r="E34" s="167">
        <f t="shared" si="4"/>
        <v>1387</v>
      </c>
      <c r="F34" s="334">
        <f>351+97</f>
        <v>448</v>
      </c>
      <c r="G34" s="334">
        <f>1+45</f>
        <v>46</v>
      </c>
      <c r="H34" s="334">
        <v>76</v>
      </c>
      <c r="I34" s="334">
        <v>178</v>
      </c>
      <c r="J34" s="334">
        <v>2</v>
      </c>
      <c r="K34" s="334">
        <f>4+74+75+264+15+202+3</f>
        <v>637</v>
      </c>
    </row>
    <row r="35" spans="2:11" s="53" customFormat="1" ht="15" customHeight="1" x14ac:dyDescent="0.2">
      <c r="B35" s="281"/>
      <c r="C35" s="281"/>
      <c r="D35" s="162">
        <v>2018</v>
      </c>
      <c r="E35" s="167">
        <f>SUM(F35:K35)</f>
        <v>1333</v>
      </c>
      <c r="F35" s="391">
        <v>331</v>
      </c>
      <c r="G35" s="391">
        <v>34</v>
      </c>
      <c r="H35" s="391">
        <v>51</v>
      </c>
      <c r="I35" s="391">
        <v>144</v>
      </c>
      <c r="J35" s="391">
        <v>1</v>
      </c>
      <c r="K35" s="391">
        <v>772</v>
      </c>
    </row>
    <row r="36" spans="2:11" s="53" customFormat="1" ht="15" customHeight="1" x14ac:dyDescent="0.2">
      <c r="B36" s="281"/>
      <c r="C36" s="281"/>
      <c r="D36" s="162"/>
      <c r="E36" s="167"/>
      <c r="F36" s="334"/>
      <c r="G36" s="334"/>
      <c r="H36" s="334"/>
      <c r="I36" s="334"/>
      <c r="J36" s="334"/>
      <c r="K36" s="334"/>
    </row>
    <row r="37" spans="2:11" s="53" customFormat="1" ht="15" customHeight="1" x14ac:dyDescent="0.2">
      <c r="B37" s="58" t="s">
        <v>161</v>
      </c>
      <c r="C37" s="58"/>
      <c r="D37" s="162">
        <v>2016</v>
      </c>
      <c r="E37" s="167">
        <f t="shared" ref="E37:E38" si="5">SUM(F37:K37)</f>
        <v>39</v>
      </c>
      <c r="F37" s="334">
        <v>4</v>
      </c>
      <c r="G37" s="335" t="s">
        <v>51</v>
      </c>
      <c r="H37" s="334">
        <v>3</v>
      </c>
      <c r="I37" s="334">
        <v>18</v>
      </c>
      <c r="J37" s="335" t="s">
        <v>51</v>
      </c>
      <c r="K37" s="334">
        <v>14</v>
      </c>
    </row>
    <row r="38" spans="2:11" s="53" customFormat="1" ht="15" customHeight="1" x14ac:dyDescent="0.2">
      <c r="B38" s="281"/>
      <c r="C38" s="281"/>
      <c r="D38" s="162">
        <v>2017</v>
      </c>
      <c r="E38" s="167">
        <f t="shared" si="5"/>
        <v>47</v>
      </c>
      <c r="F38" s="334">
        <f>7+4</f>
        <v>11</v>
      </c>
      <c r="G38" s="335" t="s">
        <v>51</v>
      </c>
      <c r="H38" s="334">
        <v>4</v>
      </c>
      <c r="I38" s="334">
        <v>12</v>
      </c>
      <c r="J38" s="335" t="s">
        <v>51</v>
      </c>
      <c r="K38" s="334">
        <f>5+2+13</f>
        <v>20</v>
      </c>
    </row>
    <row r="39" spans="2:11" s="53" customFormat="1" ht="15" customHeight="1" x14ac:dyDescent="0.2">
      <c r="B39" s="281"/>
      <c r="C39" s="281"/>
      <c r="D39" s="162">
        <v>2018</v>
      </c>
      <c r="E39" s="167">
        <f>SUM(F39:K39)</f>
        <v>64</v>
      </c>
      <c r="F39" s="391">
        <v>22</v>
      </c>
      <c r="G39" s="390" t="s">
        <v>51</v>
      </c>
      <c r="H39" s="391">
        <v>1</v>
      </c>
      <c r="I39" s="391">
        <v>17</v>
      </c>
      <c r="J39" s="390" t="s">
        <v>51</v>
      </c>
      <c r="K39" s="391">
        <v>24</v>
      </c>
    </row>
    <row r="40" spans="2:11" s="53" customFormat="1" ht="15" customHeight="1" x14ac:dyDescent="0.2">
      <c r="B40" s="281"/>
      <c r="C40" s="281"/>
      <c r="D40" s="162"/>
      <c r="E40" s="167"/>
      <c r="F40" s="334"/>
      <c r="G40" s="334"/>
      <c r="H40" s="334"/>
      <c r="I40" s="334"/>
      <c r="J40" s="334"/>
      <c r="K40" s="334"/>
    </row>
    <row r="41" spans="2:11" s="53" customFormat="1" ht="15" customHeight="1" x14ac:dyDescent="0.2">
      <c r="B41" s="58" t="s">
        <v>162</v>
      </c>
      <c r="C41" s="58"/>
      <c r="D41" s="162">
        <v>2016</v>
      </c>
      <c r="E41" s="167">
        <f t="shared" ref="E41:E42" si="6">SUM(F41:K41)</f>
        <v>51</v>
      </c>
      <c r="F41" s="334">
        <v>20</v>
      </c>
      <c r="G41" s="335" t="s">
        <v>51</v>
      </c>
      <c r="H41" s="334">
        <v>1</v>
      </c>
      <c r="I41" s="334">
        <v>9</v>
      </c>
      <c r="J41" s="335" t="s">
        <v>51</v>
      </c>
      <c r="K41" s="334">
        <v>21</v>
      </c>
    </row>
    <row r="42" spans="2:11" s="53" customFormat="1" ht="15" customHeight="1" x14ac:dyDescent="0.2">
      <c r="B42" s="281"/>
      <c r="C42" s="281"/>
      <c r="D42" s="162">
        <v>2017</v>
      </c>
      <c r="E42" s="167">
        <f t="shared" si="6"/>
        <v>86</v>
      </c>
      <c r="F42" s="334">
        <f>22+4</f>
        <v>26</v>
      </c>
      <c r="G42" s="334">
        <v>1</v>
      </c>
      <c r="H42" s="334">
        <v>2</v>
      </c>
      <c r="I42" s="334">
        <v>15</v>
      </c>
      <c r="J42" s="334">
        <v>1</v>
      </c>
      <c r="K42" s="334">
        <f>1+4+5+8+23</f>
        <v>41</v>
      </c>
    </row>
    <row r="43" spans="2:11" s="53" customFormat="1" ht="15" customHeight="1" x14ac:dyDescent="0.2">
      <c r="B43" s="281"/>
      <c r="C43" s="281"/>
      <c r="D43" s="162">
        <v>2018</v>
      </c>
      <c r="E43" s="167">
        <f>SUM(F43:K43)</f>
        <v>107</v>
      </c>
      <c r="F43" s="391">
        <v>39</v>
      </c>
      <c r="G43" s="391">
        <v>1</v>
      </c>
      <c r="H43" s="390" t="s">
        <v>51</v>
      </c>
      <c r="I43" s="391">
        <v>22</v>
      </c>
      <c r="J43" s="390" t="s">
        <v>51</v>
      </c>
      <c r="K43" s="391">
        <v>45</v>
      </c>
    </row>
    <row r="44" spans="2:11" s="53" customFormat="1" ht="15" customHeight="1" x14ac:dyDescent="0.2">
      <c r="B44" s="281"/>
      <c r="C44" s="281"/>
      <c r="D44" s="162"/>
      <c r="E44" s="167"/>
      <c r="F44" s="334"/>
      <c r="G44" s="334"/>
      <c r="H44" s="334"/>
      <c r="I44" s="334"/>
      <c r="J44" s="334"/>
      <c r="K44" s="334"/>
    </row>
    <row r="45" spans="2:11" s="53" customFormat="1" ht="15" customHeight="1" x14ac:dyDescent="0.2">
      <c r="B45" s="58" t="s">
        <v>163</v>
      </c>
      <c r="C45" s="58"/>
      <c r="D45" s="162">
        <v>2016</v>
      </c>
      <c r="E45" s="167">
        <f t="shared" ref="E45:E46" si="7">SUM(F45:K45)</f>
        <v>51</v>
      </c>
      <c r="F45" s="334">
        <v>34</v>
      </c>
      <c r="G45" s="335" t="s">
        <v>51</v>
      </c>
      <c r="H45" s="334">
        <v>2</v>
      </c>
      <c r="I45" s="334">
        <v>4</v>
      </c>
      <c r="J45" s="334">
        <v>1</v>
      </c>
      <c r="K45" s="334">
        <v>10</v>
      </c>
    </row>
    <row r="46" spans="2:11" s="53" customFormat="1" ht="15" customHeight="1" x14ac:dyDescent="0.2">
      <c r="B46" s="281"/>
      <c r="C46" s="281"/>
      <c r="D46" s="162">
        <v>2017</v>
      </c>
      <c r="E46" s="167">
        <f t="shared" si="7"/>
        <v>42</v>
      </c>
      <c r="F46" s="334">
        <f>13+2</f>
        <v>15</v>
      </c>
      <c r="G46" s="335" t="s">
        <v>51</v>
      </c>
      <c r="H46" s="334">
        <v>1</v>
      </c>
      <c r="I46" s="334">
        <v>6</v>
      </c>
      <c r="J46" s="335" t="s">
        <v>51</v>
      </c>
      <c r="K46" s="334">
        <f>6+2+3+9</f>
        <v>20</v>
      </c>
    </row>
    <row r="47" spans="2:11" s="53" customFormat="1" ht="15" customHeight="1" x14ac:dyDescent="0.2">
      <c r="B47" s="281"/>
      <c r="C47" s="281"/>
      <c r="D47" s="162">
        <v>2018</v>
      </c>
      <c r="E47" s="167">
        <f>SUM(F47:K47)</f>
        <v>42</v>
      </c>
      <c r="F47" s="391">
        <v>17</v>
      </c>
      <c r="G47" s="390" t="s">
        <v>51</v>
      </c>
      <c r="H47" s="390" t="s">
        <v>51</v>
      </c>
      <c r="I47" s="391">
        <v>3</v>
      </c>
      <c r="J47" s="390" t="s">
        <v>51</v>
      </c>
      <c r="K47" s="391">
        <v>22</v>
      </c>
    </row>
    <row r="48" spans="2:11" s="53" customFormat="1" ht="15" customHeight="1" x14ac:dyDescent="0.2">
      <c r="B48" s="281"/>
      <c r="C48" s="281"/>
      <c r="D48" s="162"/>
      <c r="E48" s="167"/>
      <c r="F48" s="334"/>
      <c r="G48" s="334"/>
      <c r="H48" s="334"/>
      <c r="I48" s="334"/>
      <c r="J48" s="334"/>
      <c r="K48" s="334"/>
    </row>
    <row r="49" spans="1:12" s="53" customFormat="1" ht="15" customHeight="1" x14ac:dyDescent="0.2">
      <c r="B49" s="58" t="s">
        <v>164</v>
      </c>
      <c r="C49" s="58"/>
      <c r="D49" s="162">
        <v>2016</v>
      </c>
      <c r="E49" s="167">
        <f t="shared" ref="E49:E50" si="8">SUM(F49:K49)</f>
        <v>74</v>
      </c>
      <c r="F49" s="334">
        <v>42</v>
      </c>
      <c r="G49" s="334">
        <v>1</v>
      </c>
      <c r="H49" s="334">
        <v>4</v>
      </c>
      <c r="I49" s="334">
        <v>11</v>
      </c>
      <c r="J49" s="335" t="s">
        <v>51</v>
      </c>
      <c r="K49" s="334">
        <v>16</v>
      </c>
    </row>
    <row r="50" spans="1:12" s="53" customFormat="1" ht="15" customHeight="1" x14ac:dyDescent="0.2">
      <c r="B50" s="281"/>
      <c r="C50" s="281"/>
      <c r="D50" s="162">
        <v>2017</v>
      </c>
      <c r="E50" s="167">
        <f t="shared" si="8"/>
        <v>87</v>
      </c>
      <c r="F50" s="334">
        <f>52+2</f>
        <v>54</v>
      </c>
      <c r="G50" s="335" t="s">
        <v>51</v>
      </c>
      <c r="H50" s="334">
        <v>1</v>
      </c>
      <c r="I50" s="334">
        <v>8</v>
      </c>
      <c r="J50" s="334">
        <v>1</v>
      </c>
      <c r="K50" s="334">
        <f>3+11+1+8</f>
        <v>23</v>
      </c>
    </row>
    <row r="51" spans="1:12" s="53" customFormat="1" ht="15" customHeight="1" x14ac:dyDescent="0.2">
      <c r="B51" s="281"/>
      <c r="C51" s="281"/>
      <c r="D51" s="162">
        <v>2018</v>
      </c>
      <c r="E51" s="167">
        <f>SUM(F51:K51)</f>
        <v>42</v>
      </c>
      <c r="F51" s="391">
        <v>13</v>
      </c>
      <c r="G51" s="390" t="s">
        <v>51</v>
      </c>
      <c r="H51" s="390" t="s">
        <v>51</v>
      </c>
      <c r="I51" s="391">
        <v>7</v>
      </c>
      <c r="J51" s="390" t="s">
        <v>51</v>
      </c>
      <c r="K51" s="391">
        <v>22</v>
      </c>
    </row>
    <row r="52" spans="1:12" ht="8.1" customHeight="1" thickBot="1" x14ac:dyDescent="0.25">
      <c r="A52" s="34"/>
      <c r="B52" s="297"/>
      <c r="C52" s="297"/>
      <c r="D52" s="265"/>
      <c r="E52" s="12"/>
      <c r="F52" s="12"/>
      <c r="G52" s="12"/>
      <c r="H52" s="12"/>
      <c r="I52" s="12"/>
      <c r="J52" s="12"/>
      <c r="K52" s="12"/>
      <c r="L52" s="34"/>
    </row>
    <row r="53" spans="1:12" x14ac:dyDescent="0.25">
      <c r="E53" s="21"/>
      <c r="F53" s="174"/>
      <c r="G53" s="174"/>
      <c r="H53" s="174"/>
      <c r="I53" s="410"/>
      <c r="J53" s="399"/>
      <c r="K53" s="175" t="s">
        <v>101</v>
      </c>
    </row>
    <row r="54" spans="1:12" x14ac:dyDescent="0.25">
      <c r="E54" s="21"/>
      <c r="F54" s="174"/>
      <c r="G54" s="174"/>
      <c r="H54" s="174"/>
      <c r="I54" s="399"/>
      <c r="J54" s="399"/>
      <c r="K54" s="176" t="s">
        <v>1</v>
      </c>
    </row>
    <row r="55" spans="1:12" x14ac:dyDescent="0.25">
      <c r="E55" s="21"/>
      <c r="F55" s="174"/>
      <c r="G55" s="174"/>
      <c r="H55" s="174"/>
      <c r="I55" s="174"/>
      <c r="J55" s="174"/>
      <c r="K55" s="174"/>
    </row>
    <row r="56" spans="1:12" x14ac:dyDescent="0.25">
      <c r="F56" s="401"/>
      <c r="G56" s="401"/>
      <c r="H56" s="402"/>
      <c r="I56" s="401"/>
      <c r="J56" s="15"/>
      <c r="K56" s="15"/>
    </row>
    <row r="57" spans="1:12" x14ac:dyDescent="0.25">
      <c r="F57" s="401"/>
      <c r="G57" s="401"/>
      <c r="H57" s="402"/>
      <c r="I57" s="401"/>
      <c r="J57" s="15"/>
      <c r="K57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showGridLines="0" tabSelected="1" topLeftCell="A7" zoomScale="80" zoomScaleNormal="80" zoomScaleSheetLayoutView="100" workbookViewId="0">
      <selection activeCell="J23" sqref="J23"/>
    </sheetView>
  </sheetViews>
  <sheetFormatPr defaultRowHeight="15" x14ac:dyDescent="0.25"/>
  <cols>
    <col min="1" max="1" width="1.7109375" style="2" customWidth="1"/>
    <col min="2" max="2" width="10.42578125" style="3" customWidth="1"/>
    <col min="3" max="3" width="9.140625" style="3" customWidth="1"/>
    <col min="4" max="4" width="9.28515625" style="3" customWidth="1"/>
    <col min="5" max="5" width="10.42578125" style="4" customWidth="1"/>
    <col min="6" max="7" width="11.7109375" style="5" customWidth="1"/>
    <col min="8" max="8" width="11.7109375" style="209" customWidth="1"/>
    <col min="9" max="9" width="12.28515625" style="5" customWidth="1"/>
    <col min="10" max="10" width="10.42578125" style="2" customWidth="1"/>
    <col min="11" max="11" width="11.7109375" style="2" customWidth="1"/>
    <col min="12" max="12" width="0.8554687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96"/>
      <c r="E12" s="286"/>
      <c r="F12" s="287"/>
      <c r="G12" s="286"/>
      <c r="H12" s="286"/>
      <c r="I12" s="286"/>
      <c r="J12" s="287"/>
      <c r="K12" s="286"/>
    </row>
    <row r="13" spans="1:12" s="53" customFormat="1" ht="15" customHeight="1" x14ac:dyDescent="0.2">
      <c r="B13" s="64" t="s">
        <v>212</v>
      </c>
      <c r="C13" s="127"/>
      <c r="D13" s="124"/>
      <c r="E13" s="167"/>
      <c r="F13" s="166"/>
      <c r="G13" s="166"/>
      <c r="H13" s="166"/>
      <c r="I13" s="166"/>
      <c r="J13" s="166"/>
      <c r="K13" s="166"/>
    </row>
    <row r="14" spans="1:12" s="53" customFormat="1" ht="8.1" customHeight="1" x14ac:dyDescent="0.2">
      <c r="B14" s="127"/>
      <c r="C14" s="127"/>
      <c r="D14" s="124"/>
      <c r="E14" s="167"/>
      <c r="F14" s="166"/>
      <c r="G14" s="166"/>
      <c r="H14" s="166"/>
      <c r="I14" s="166"/>
      <c r="J14" s="166"/>
      <c r="K14" s="166"/>
    </row>
    <row r="15" spans="1:12" s="53" customFormat="1" ht="15" customHeight="1" x14ac:dyDescent="0.2">
      <c r="B15" s="58" t="s">
        <v>165</v>
      </c>
      <c r="C15" s="58"/>
      <c r="D15" s="169">
        <v>2016</v>
      </c>
      <c r="E15" s="167">
        <f>SUM(F15:K15)</f>
        <v>258</v>
      </c>
      <c r="F15" s="391">
        <v>108</v>
      </c>
      <c r="G15" s="389" t="s">
        <v>51</v>
      </c>
      <c r="H15" s="390">
        <v>3</v>
      </c>
      <c r="I15" s="391">
        <v>59</v>
      </c>
      <c r="J15" s="390">
        <v>3</v>
      </c>
      <c r="K15" s="391">
        <v>85</v>
      </c>
    </row>
    <row r="16" spans="1:12" s="53" customFormat="1" ht="15" customHeight="1" x14ac:dyDescent="0.2">
      <c r="B16" s="281"/>
      <c r="C16" s="281"/>
      <c r="D16" s="169">
        <v>2017</v>
      </c>
      <c r="E16" s="167">
        <f>SUM(F16:K16)</f>
        <v>236</v>
      </c>
      <c r="F16" s="391">
        <v>85</v>
      </c>
      <c r="G16" s="390">
        <v>3</v>
      </c>
      <c r="H16" s="390">
        <v>8</v>
      </c>
      <c r="I16" s="391">
        <v>37</v>
      </c>
      <c r="J16" s="389" t="s">
        <v>51</v>
      </c>
      <c r="K16" s="391">
        <v>103</v>
      </c>
    </row>
    <row r="17" spans="1:11" s="53" customFormat="1" ht="15" customHeight="1" x14ac:dyDescent="0.2">
      <c r="B17" s="281"/>
      <c r="C17" s="281"/>
      <c r="D17" s="169">
        <v>2018</v>
      </c>
      <c r="E17" s="167">
        <f>SUM(F17:K17)</f>
        <v>249</v>
      </c>
      <c r="F17" s="391">
        <v>77</v>
      </c>
      <c r="G17" s="390" t="s">
        <v>51</v>
      </c>
      <c r="H17" s="390">
        <v>5</v>
      </c>
      <c r="I17" s="391">
        <v>31</v>
      </c>
      <c r="J17" s="390" t="s">
        <v>51</v>
      </c>
      <c r="K17" s="391">
        <v>136</v>
      </c>
    </row>
    <row r="18" spans="1:11" s="53" customFormat="1" ht="8.1" customHeight="1" x14ac:dyDescent="0.2">
      <c r="B18" s="281"/>
      <c r="C18" s="281"/>
      <c r="D18" s="169"/>
      <c r="E18" s="167"/>
      <c r="F18" s="167"/>
      <c r="G18" s="167"/>
      <c r="H18" s="167"/>
      <c r="I18" s="167"/>
      <c r="J18" s="167"/>
      <c r="K18" s="167"/>
    </row>
    <row r="19" spans="1:11" s="53" customFormat="1" ht="15" customHeight="1" x14ac:dyDescent="0.2">
      <c r="B19" s="107" t="s">
        <v>166</v>
      </c>
      <c r="C19" s="107"/>
      <c r="D19" s="169">
        <v>2016</v>
      </c>
      <c r="E19" s="167">
        <f>SUM(F19:K19)</f>
        <v>112</v>
      </c>
      <c r="F19" s="334">
        <v>45</v>
      </c>
      <c r="G19" s="334">
        <v>2</v>
      </c>
      <c r="H19" s="334">
        <v>6</v>
      </c>
      <c r="I19" s="334">
        <v>41</v>
      </c>
      <c r="J19" s="335" t="s">
        <v>51</v>
      </c>
      <c r="K19" s="334">
        <v>18</v>
      </c>
    </row>
    <row r="20" spans="1:11" s="53" customFormat="1" ht="15" customHeight="1" x14ac:dyDescent="0.2">
      <c r="B20" s="298"/>
      <c r="C20" s="298"/>
      <c r="D20" s="169">
        <v>2017</v>
      </c>
      <c r="E20" s="167">
        <f>SUM(F20:K20)</f>
        <v>262</v>
      </c>
      <c r="F20" s="334">
        <f>65+36</f>
        <v>101</v>
      </c>
      <c r="G20" s="334">
        <v>1</v>
      </c>
      <c r="H20" s="334">
        <v>11</v>
      </c>
      <c r="I20" s="334">
        <v>19</v>
      </c>
      <c r="J20" s="335" t="s">
        <v>51</v>
      </c>
      <c r="K20" s="334">
        <f>9+2+29+2+86+2</f>
        <v>130</v>
      </c>
    </row>
    <row r="21" spans="1:11" s="53" customFormat="1" ht="15" customHeight="1" x14ac:dyDescent="0.25">
      <c r="B21" s="298"/>
      <c r="C21" s="298"/>
      <c r="D21" s="169">
        <v>2018</v>
      </c>
      <c r="E21" s="167">
        <f>SUM(F21:K21)</f>
        <v>294</v>
      </c>
      <c r="F21" s="392">
        <v>143</v>
      </c>
      <c r="G21" s="392">
        <v>4</v>
      </c>
      <c r="H21" s="392">
        <v>8</v>
      </c>
      <c r="I21" s="392">
        <v>9</v>
      </c>
      <c r="J21" s="393" t="s">
        <v>51</v>
      </c>
      <c r="K21" s="392">
        <v>130</v>
      </c>
    </row>
    <row r="22" spans="1:11" s="53" customFormat="1" ht="8.1" customHeight="1" x14ac:dyDescent="0.2">
      <c r="B22" s="298"/>
      <c r="C22" s="298"/>
      <c r="D22" s="169"/>
      <c r="E22" s="167"/>
      <c r="F22" s="334"/>
      <c r="G22" s="334"/>
      <c r="H22" s="334"/>
      <c r="I22" s="334"/>
      <c r="J22" s="334"/>
      <c r="K22" s="334"/>
    </row>
    <row r="23" spans="1:11" s="53" customFormat="1" ht="15" customHeight="1" x14ac:dyDescent="0.2">
      <c r="B23" s="58" t="s">
        <v>167</v>
      </c>
      <c r="C23" s="58"/>
      <c r="D23" s="169">
        <v>2016</v>
      </c>
      <c r="E23" s="167">
        <f>SUM(F23:K23)</f>
        <v>383</v>
      </c>
      <c r="F23" s="334">
        <v>147</v>
      </c>
      <c r="G23" s="334">
        <v>29</v>
      </c>
      <c r="H23" s="334">
        <v>25</v>
      </c>
      <c r="I23" s="334">
        <v>85</v>
      </c>
      <c r="J23" s="334">
        <v>6</v>
      </c>
      <c r="K23" s="334">
        <v>91</v>
      </c>
    </row>
    <row r="24" spans="1:11" s="119" customFormat="1" ht="15" customHeight="1" x14ac:dyDescent="0.2">
      <c r="A24" s="118"/>
      <c r="B24" s="281"/>
      <c r="C24" s="281"/>
      <c r="D24" s="169">
        <v>2017</v>
      </c>
      <c r="E24" s="167">
        <f>SUM(F24:K24)</f>
        <v>538</v>
      </c>
      <c r="F24" s="334">
        <f>135+52</f>
        <v>187</v>
      </c>
      <c r="G24" s="334">
        <v>30</v>
      </c>
      <c r="H24" s="334">
        <v>32</v>
      </c>
      <c r="I24" s="334">
        <v>60</v>
      </c>
      <c r="J24" s="335" t="s">
        <v>51</v>
      </c>
      <c r="K24" s="334">
        <f>2+33+35+70+1+88</f>
        <v>229</v>
      </c>
    </row>
    <row r="25" spans="1:11" s="119" customFormat="1" ht="15" customHeight="1" x14ac:dyDescent="0.25">
      <c r="A25" s="53"/>
      <c r="B25" s="281"/>
      <c r="C25" s="281"/>
      <c r="D25" s="169">
        <v>2018</v>
      </c>
      <c r="E25" s="167">
        <f>SUM(F25:K25)</f>
        <v>526</v>
      </c>
      <c r="F25" s="333">
        <v>201</v>
      </c>
      <c r="G25" s="333">
        <v>14</v>
      </c>
      <c r="H25" s="333">
        <v>15</v>
      </c>
      <c r="I25" s="333">
        <v>65</v>
      </c>
      <c r="J25" s="333">
        <v>1</v>
      </c>
      <c r="K25" s="333">
        <v>230</v>
      </c>
    </row>
    <row r="26" spans="1:11" s="119" customFormat="1" ht="8.1" customHeight="1" x14ac:dyDescent="0.2">
      <c r="A26" s="53"/>
      <c r="B26" s="281"/>
      <c r="C26" s="281"/>
      <c r="D26" s="169"/>
      <c r="E26" s="167"/>
      <c r="F26" s="334"/>
      <c r="G26" s="334"/>
      <c r="H26" s="334"/>
      <c r="I26" s="334"/>
      <c r="J26" s="334"/>
      <c r="K26" s="334"/>
    </row>
    <row r="27" spans="1:11" s="109" customFormat="1" ht="15" customHeight="1" x14ac:dyDescent="0.2">
      <c r="A27" s="53"/>
      <c r="B27" s="58" t="s">
        <v>168</v>
      </c>
      <c r="C27" s="58"/>
      <c r="D27" s="169">
        <v>2016</v>
      </c>
      <c r="E27" s="167">
        <f>SUM(F27:K27)</f>
        <v>77</v>
      </c>
      <c r="F27" s="334">
        <v>26</v>
      </c>
      <c r="G27" s="334">
        <v>1</v>
      </c>
      <c r="H27" s="334">
        <v>4</v>
      </c>
      <c r="I27" s="334">
        <v>14</v>
      </c>
      <c r="J27" s="335" t="s">
        <v>51</v>
      </c>
      <c r="K27" s="334">
        <v>32</v>
      </c>
    </row>
    <row r="28" spans="1:11" s="119" customFormat="1" ht="15" customHeight="1" x14ac:dyDescent="0.2">
      <c r="A28" s="53"/>
      <c r="B28" s="281"/>
      <c r="C28" s="281"/>
      <c r="D28" s="169">
        <v>2017</v>
      </c>
      <c r="E28" s="167">
        <f>SUM(F28:K28)</f>
        <v>57</v>
      </c>
      <c r="F28" s="334">
        <f>18+3</f>
        <v>21</v>
      </c>
      <c r="G28" s="334">
        <v>1</v>
      </c>
      <c r="H28" s="334">
        <v>5</v>
      </c>
      <c r="I28" s="334">
        <v>4</v>
      </c>
      <c r="J28" s="335" t="s">
        <v>51</v>
      </c>
      <c r="K28" s="334">
        <f>7+3+6+10</f>
        <v>26</v>
      </c>
    </row>
    <row r="29" spans="1:11" s="119" customFormat="1" ht="15" customHeight="1" x14ac:dyDescent="0.25">
      <c r="A29" s="53"/>
      <c r="B29" s="281"/>
      <c r="C29" s="281"/>
      <c r="D29" s="169">
        <v>2018</v>
      </c>
      <c r="E29" s="167">
        <f>SUM(F29:K29)</f>
        <v>56</v>
      </c>
      <c r="F29" s="333">
        <v>26</v>
      </c>
      <c r="G29" s="394" t="s">
        <v>51</v>
      </c>
      <c r="H29" s="333">
        <v>3</v>
      </c>
      <c r="I29" s="333">
        <v>6</v>
      </c>
      <c r="J29" s="394" t="s">
        <v>51</v>
      </c>
      <c r="K29" s="333">
        <v>21</v>
      </c>
    </row>
    <row r="30" spans="1:11" s="119" customFormat="1" ht="8.1" customHeight="1" x14ac:dyDescent="0.2">
      <c r="A30" s="53"/>
      <c r="B30" s="281"/>
      <c r="C30" s="281"/>
      <c r="D30" s="169"/>
      <c r="E30" s="167"/>
      <c r="F30" s="334"/>
      <c r="G30" s="334"/>
      <c r="H30" s="334"/>
      <c r="I30" s="334"/>
      <c r="J30" s="334"/>
      <c r="K30" s="334"/>
    </row>
    <row r="31" spans="1:11" s="119" customFormat="1" ht="15" customHeight="1" x14ac:dyDescent="0.2">
      <c r="B31" s="58" t="s">
        <v>169</v>
      </c>
      <c r="C31" s="58"/>
      <c r="D31" s="169">
        <v>2016</v>
      </c>
      <c r="E31" s="167">
        <f>SUM(F31:K31)</f>
        <v>430</v>
      </c>
      <c r="F31" s="334">
        <v>230</v>
      </c>
      <c r="G31" s="334">
        <v>15</v>
      </c>
      <c r="H31" s="334">
        <v>26</v>
      </c>
      <c r="I31" s="334">
        <v>79</v>
      </c>
      <c r="J31" s="334">
        <v>9</v>
      </c>
      <c r="K31" s="334">
        <v>71</v>
      </c>
    </row>
    <row r="32" spans="1:11" s="86" customFormat="1" ht="15" customHeight="1" x14ac:dyDescent="0.2">
      <c r="A32" s="53"/>
      <c r="B32" s="281"/>
      <c r="C32" s="281"/>
      <c r="D32" s="169">
        <v>2017</v>
      </c>
      <c r="E32" s="167">
        <f>SUM(F32:K32)</f>
        <v>547</v>
      </c>
      <c r="F32" s="334">
        <f>201+37</f>
        <v>238</v>
      </c>
      <c r="G32" s="334">
        <v>9</v>
      </c>
      <c r="H32" s="334">
        <v>27</v>
      </c>
      <c r="I32" s="334">
        <v>67</v>
      </c>
      <c r="J32" s="335" t="s">
        <v>51</v>
      </c>
      <c r="K32" s="334">
        <f>1+15+45+67+78</f>
        <v>206</v>
      </c>
    </row>
    <row r="33" spans="1:11" s="119" customFormat="1" ht="15" customHeight="1" x14ac:dyDescent="0.25">
      <c r="A33" s="53"/>
      <c r="B33" s="281"/>
      <c r="C33" s="281"/>
      <c r="D33" s="169">
        <v>2018</v>
      </c>
      <c r="E33" s="167">
        <f>SUM(F33:K33)</f>
        <v>587</v>
      </c>
      <c r="F33" s="333">
        <v>285</v>
      </c>
      <c r="G33" s="333">
        <v>6</v>
      </c>
      <c r="H33" s="333">
        <v>21</v>
      </c>
      <c r="I33" s="333">
        <v>32</v>
      </c>
      <c r="J33" s="394" t="s">
        <v>51</v>
      </c>
      <c r="K33" s="333">
        <v>243</v>
      </c>
    </row>
    <row r="34" spans="1:11" s="119" customFormat="1" ht="8.1" customHeight="1" x14ac:dyDescent="0.2">
      <c r="A34" s="53"/>
      <c r="B34" s="281"/>
      <c r="C34" s="281"/>
      <c r="D34" s="169"/>
      <c r="E34" s="167"/>
      <c r="F34" s="334"/>
      <c r="G34" s="334"/>
      <c r="H34" s="334"/>
      <c r="I34" s="334"/>
      <c r="J34" s="334"/>
      <c r="K34" s="334"/>
    </row>
    <row r="35" spans="1:11" s="53" customFormat="1" ht="15" customHeight="1" x14ac:dyDescent="0.2">
      <c r="B35" s="58" t="s">
        <v>170</v>
      </c>
      <c r="C35" s="58"/>
      <c r="D35" s="169">
        <v>2016</v>
      </c>
      <c r="E35" s="167">
        <f>SUM(F35:K35)</f>
        <v>208</v>
      </c>
      <c r="F35" s="334">
        <v>53</v>
      </c>
      <c r="G35" s="335" t="s">
        <v>51</v>
      </c>
      <c r="H35" s="334">
        <v>10</v>
      </c>
      <c r="I35" s="334">
        <v>27</v>
      </c>
      <c r="J35" s="334">
        <v>9</v>
      </c>
      <c r="K35" s="334">
        <v>109</v>
      </c>
    </row>
    <row r="36" spans="1:11" s="53" customFormat="1" ht="15" customHeight="1" x14ac:dyDescent="0.2">
      <c r="B36" s="281"/>
      <c r="C36" s="281"/>
      <c r="D36" s="169">
        <v>2017</v>
      </c>
      <c r="E36" s="167">
        <f>SUM(F36:K36)</f>
        <v>321</v>
      </c>
      <c r="F36" s="334">
        <f>83+8</f>
        <v>91</v>
      </c>
      <c r="G36" s="335" t="s">
        <v>51</v>
      </c>
      <c r="H36" s="334">
        <v>11</v>
      </c>
      <c r="I36" s="334">
        <v>26</v>
      </c>
      <c r="J36" s="334">
        <v>7</v>
      </c>
      <c r="K36" s="334">
        <f>1+16+4+79+1+85</f>
        <v>186</v>
      </c>
    </row>
    <row r="37" spans="1:11" s="53" customFormat="1" ht="15" customHeight="1" x14ac:dyDescent="0.25">
      <c r="A37" s="119"/>
      <c r="B37" s="281"/>
      <c r="C37" s="281"/>
      <c r="D37" s="169">
        <v>2018</v>
      </c>
      <c r="E37" s="167">
        <f>SUM(F37:K37)</f>
        <v>378</v>
      </c>
      <c r="F37" s="392">
        <v>101</v>
      </c>
      <c r="G37" s="392">
        <v>1</v>
      </c>
      <c r="H37" s="392">
        <v>11</v>
      </c>
      <c r="I37" s="392">
        <v>19</v>
      </c>
      <c r="J37" s="392">
        <v>2</v>
      </c>
      <c r="K37" s="392">
        <v>244</v>
      </c>
    </row>
    <row r="38" spans="1:11" s="53" customFormat="1" ht="8.1" customHeight="1" x14ac:dyDescent="0.2">
      <c r="A38" s="119"/>
      <c r="B38" s="281"/>
      <c r="C38" s="281"/>
      <c r="D38" s="169"/>
      <c r="E38" s="167"/>
      <c r="F38" s="334"/>
      <c r="G38" s="334"/>
      <c r="H38" s="334"/>
      <c r="I38" s="334"/>
      <c r="J38" s="334"/>
      <c r="K38" s="334"/>
    </row>
    <row r="39" spans="1:11" s="53" customFormat="1" ht="15" customHeight="1" x14ac:dyDescent="0.2">
      <c r="B39" s="58" t="s">
        <v>171</v>
      </c>
      <c r="C39" s="58"/>
      <c r="D39" s="169">
        <v>2016</v>
      </c>
      <c r="E39" s="167">
        <f>SUM(F39:K39)</f>
        <v>102</v>
      </c>
      <c r="F39" s="334">
        <v>47</v>
      </c>
      <c r="G39" s="335" t="s">
        <v>51</v>
      </c>
      <c r="H39" s="334">
        <v>3</v>
      </c>
      <c r="I39" s="334">
        <v>20</v>
      </c>
      <c r="J39" s="335" t="s">
        <v>51</v>
      </c>
      <c r="K39" s="334">
        <v>32</v>
      </c>
    </row>
    <row r="40" spans="1:11" s="53" customFormat="1" ht="15" customHeight="1" x14ac:dyDescent="0.2">
      <c r="B40" s="281"/>
      <c r="C40" s="281"/>
      <c r="D40" s="169">
        <v>2017</v>
      </c>
      <c r="E40" s="167">
        <f>SUM(F40:K40)</f>
        <v>96</v>
      </c>
      <c r="F40" s="334">
        <f>17+9</f>
        <v>26</v>
      </c>
      <c r="G40" s="334">
        <v>2</v>
      </c>
      <c r="H40" s="334">
        <v>5</v>
      </c>
      <c r="I40" s="334">
        <v>11</v>
      </c>
      <c r="J40" s="335" t="s">
        <v>51</v>
      </c>
      <c r="K40" s="334">
        <f>4+1+6+1+40</f>
        <v>52</v>
      </c>
    </row>
    <row r="41" spans="1:11" s="53" customFormat="1" ht="15" customHeight="1" x14ac:dyDescent="0.25">
      <c r="A41" s="119"/>
      <c r="B41" s="281"/>
      <c r="C41" s="281"/>
      <c r="D41" s="169">
        <v>2018</v>
      </c>
      <c r="E41" s="167">
        <f>SUM(F41:K41)</f>
        <v>91</v>
      </c>
      <c r="F41" s="392">
        <v>35</v>
      </c>
      <c r="G41" s="393" t="s">
        <v>51</v>
      </c>
      <c r="H41" s="392">
        <v>2</v>
      </c>
      <c r="I41" s="392">
        <v>2</v>
      </c>
      <c r="J41" s="393" t="s">
        <v>51</v>
      </c>
      <c r="K41" s="392">
        <v>52</v>
      </c>
    </row>
    <row r="42" spans="1:11" s="53" customFormat="1" ht="8.1" customHeight="1" x14ac:dyDescent="0.2">
      <c r="A42" s="119"/>
      <c r="B42" s="281"/>
      <c r="C42" s="281"/>
      <c r="D42" s="169"/>
      <c r="E42" s="167"/>
      <c r="F42" s="334"/>
      <c r="G42" s="334"/>
      <c r="H42" s="334"/>
      <c r="I42" s="334"/>
      <c r="J42" s="334"/>
      <c r="K42" s="334"/>
    </row>
    <row r="43" spans="1:11" s="53" customFormat="1" ht="15" customHeight="1" x14ac:dyDescent="0.2">
      <c r="B43" s="58" t="s">
        <v>172</v>
      </c>
      <c r="C43" s="58"/>
      <c r="D43" s="169">
        <v>2016</v>
      </c>
      <c r="E43" s="167">
        <f>SUM(F43:K43)</f>
        <v>896</v>
      </c>
      <c r="F43" s="334">
        <v>371</v>
      </c>
      <c r="G43" s="334">
        <v>13</v>
      </c>
      <c r="H43" s="334">
        <v>43</v>
      </c>
      <c r="I43" s="334">
        <v>132</v>
      </c>
      <c r="J43" s="334">
        <v>18</v>
      </c>
      <c r="K43" s="334">
        <v>319</v>
      </c>
    </row>
    <row r="44" spans="1:11" s="53" customFormat="1" ht="15" customHeight="1" x14ac:dyDescent="0.2">
      <c r="B44" s="281"/>
      <c r="C44" s="281"/>
      <c r="D44" s="169">
        <v>2017</v>
      </c>
      <c r="E44" s="167">
        <f>SUM(F44:K44)</f>
        <v>910</v>
      </c>
      <c r="F44" s="334">
        <f>269+59</f>
        <v>328</v>
      </c>
      <c r="G44" s="334">
        <v>14</v>
      </c>
      <c r="H44" s="334">
        <v>39</v>
      </c>
      <c r="I44" s="334">
        <v>93</v>
      </c>
      <c r="J44" s="334">
        <v>7</v>
      </c>
      <c r="K44" s="334">
        <f>31+24+177+7+190</f>
        <v>429</v>
      </c>
    </row>
    <row r="45" spans="1:11" s="53" customFormat="1" ht="15" customHeight="1" x14ac:dyDescent="0.25">
      <c r="A45" s="109"/>
      <c r="B45" s="281"/>
      <c r="C45" s="281"/>
      <c r="D45" s="169">
        <v>2018</v>
      </c>
      <c r="E45" s="167">
        <f>SUM(F45:K45)</f>
        <v>871</v>
      </c>
      <c r="F45" s="392">
        <v>280</v>
      </c>
      <c r="G45" s="392">
        <v>1</v>
      </c>
      <c r="H45" s="392">
        <v>25</v>
      </c>
      <c r="I45" s="392">
        <v>57</v>
      </c>
      <c r="J45" s="393" t="s">
        <v>51</v>
      </c>
      <c r="K45" s="392">
        <v>508</v>
      </c>
    </row>
    <row r="46" spans="1:11" s="53" customFormat="1" ht="8.1" customHeight="1" x14ac:dyDescent="0.2">
      <c r="A46" s="109"/>
      <c r="B46" s="281"/>
      <c r="C46" s="281"/>
      <c r="D46" s="169"/>
      <c r="E46" s="167"/>
      <c r="F46" s="334"/>
      <c r="G46" s="334"/>
      <c r="H46" s="334"/>
      <c r="I46" s="334"/>
      <c r="J46" s="334"/>
      <c r="K46" s="334"/>
    </row>
    <row r="47" spans="1:11" s="53" customFormat="1" ht="15" customHeight="1" x14ac:dyDescent="0.2">
      <c r="B47" s="58" t="s">
        <v>173</v>
      </c>
      <c r="C47" s="58"/>
      <c r="D47" s="169">
        <v>2016</v>
      </c>
      <c r="E47" s="167">
        <f>SUM(F47:K47)</f>
        <v>41</v>
      </c>
      <c r="F47" s="334">
        <v>18</v>
      </c>
      <c r="G47" s="334">
        <v>1</v>
      </c>
      <c r="H47" s="334">
        <v>6</v>
      </c>
      <c r="I47" s="334">
        <v>3</v>
      </c>
      <c r="J47" s="335" t="s">
        <v>51</v>
      </c>
      <c r="K47" s="334">
        <v>13</v>
      </c>
    </row>
    <row r="48" spans="1:11" s="53" customFormat="1" ht="15" customHeight="1" x14ac:dyDescent="0.2">
      <c r="B48" s="281"/>
      <c r="C48" s="281"/>
      <c r="D48" s="169">
        <v>2017</v>
      </c>
      <c r="E48" s="167">
        <f>SUM(F48:K48)</f>
        <v>35</v>
      </c>
      <c r="F48" s="334">
        <f>12+7</f>
        <v>19</v>
      </c>
      <c r="G48" s="334">
        <v>1</v>
      </c>
      <c r="H48" s="334">
        <v>1</v>
      </c>
      <c r="I48" s="334">
        <v>4</v>
      </c>
      <c r="J48" s="335" t="s">
        <v>51</v>
      </c>
      <c r="K48" s="334">
        <f>3+1+6</f>
        <v>10</v>
      </c>
    </row>
    <row r="49" spans="1:12" s="53" customFormat="1" ht="15" customHeight="1" x14ac:dyDescent="0.25">
      <c r="A49" s="119"/>
      <c r="B49" s="281"/>
      <c r="C49" s="281"/>
      <c r="D49" s="169">
        <v>2018</v>
      </c>
      <c r="E49" s="167">
        <f>SUM(F49:K49)</f>
        <v>36</v>
      </c>
      <c r="F49" s="392">
        <v>20</v>
      </c>
      <c r="G49" s="392">
        <v>1</v>
      </c>
      <c r="H49" s="392">
        <v>1</v>
      </c>
      <c r="I49" s="392">
        <v>3</v>
      </c>
      <c r="J49" s="393" t="s">
        <v>51</v>
      </c>
      <c r="K49" s="392">
        <v>11</v>
      </c>
    </row>
    <row r="50" spans="1:12" s="53" customFormat="1" ht="8.1" customHeight="1" x14ac:dyDescent="0.2">
      <c r="A50" s="119"/>
      <c r="B50" s="281"/>
      <c r="C50" s="281"/>
      <c r="D50" s="169"/>
      <c r="E50" s="167"/>
      <c r="F50" s="334"/>
      <c r="G50" s="334"/>
      <c r="H50" s="334"/>
      <c r="I50" s="334"/>
      <c r="J50" s="334"/>
      <c r="K50" s="334"/>
    </row>
    <row r="51" spans="1:12" s="53" customFormat="1" ht="15" customHeight="1" x14ac:dyDescent="0.2">
      <c r="B51" s="58" t="s">
        <v>174</v>
      </c>
      <c r="C51" s="58"/>
      <c r="D51" s="169">
        <v>2016</v>
      </c>
      <c r="E51" s="167">
        <f>SUM(F51:K51)</f>
        <v>99</v>
      </c>
      <c r="F51" s="334">
        <v>30</v>
      </c>
      <c r="G51" s="334">
        <v>2</v>
      </c>
      <c r="H51" s="334">
        <v>4</v>
      </c>
      <c r="I51" s="334">
        <v>37</v>
      </c>
      <c r="J51" s="334">
        <v>1</v>
      </c>
      <c r="K51" s="334">
        <v>25</v>
      </c>
    </row>
    <row r="52" spans="1:12" s="53" customFormat="1" ht="15" customHeight="1" x14ac:dyDescent="0.2">
      <c r="B52" s="281"/>
      <c r="C52" s="281"/>
      <c r="D52" s="169">
        <v>2017</v>
      </c>
      <c r="E52" s="167">
        <f>SUM(F52:K52)</f>
        <v>103</v>
      </c>
      <c r="F52" s="334">
        <f>35+3</f>
        <v>38</v>
      </c>
      <c r="G52" s="335" t="s">
        <v>51</v>
      </c>
      <c r="H52" s="334">
        <v>5</v>
      </c>
      <c r="I52" s="334">
        <v>29</v>
      </c>
      <c r="J52" s="335" t="s">
        <v>51</v>
      </c>
      <c r="K52" s="334">
        <f>2+3+10+3+13</f>
        <v>31</v>
      </c>
    </row>
    <row r="53" spans="1:12" s="53" customFormat="1" ht="15" customHeight="1" x14ac:dyDescent="0.25">
      <c r="A53" s="119"/>
      <c r="B53" s="281"/>
      <c r="C53" s="281"/>
      <c r="D53" s="169">
        <v>2018</v>
      </c>
      <c r="E53" s="167">
        <f>SUM(F53:K53)</f>
        <v>108</v>
      </c>
      <c r="F53" s="392">
        <v>43</v>
      </c>
      <c r="G53" s="393" t="s">
        <v>51</v>
      </c>
      <c r="H53" s="392">
        <v>7</v>
      </c>
      <c r="I53" s="392">
        <v>17</v>
      </c>
      <c r="J53" s="392">
        <v>1</v>
      </c>
      <c r="K53" s="392">
        <v>40</v>
      </c>
    </row>
    <row r="54" spans="1:12" s="53" customFormat="1" ht="8.1" customHeight="1" x14ac:dyDescent="0.2">
      <c r="A54" s="119"/>
      <c r="B54" s="281"/>
      <c r="C54" s="281"/>
      <c r="D54" s="169"/>
      <c r="E54" s="167"/>
      <c r="F54" s="334"/>
      <c r="G54" s="334"/>
      <c r="H54" s="334"/>
      <c r="I54" s="334"/>
      <c r="J54" s="334"/>
      <c r="K54" s="334"/>
    </row>
    <row r="55" spans="1:12" s="53" customFormat="1" ht="15" customHeight="1" x14ac:dyDescent="0.2">
      <c r="B55" s="58" t="s">
        <v>175</v>
      </c>
      <c r="C55" s="58"/>
      <c r="D55" s="169">
        <v>2016</v>
      </c>
      <c r="E55" s="167">
        <f>SUM(F55:K55)</f>
        <v>192</v>
      </c>
      <c r="F55" s="334">
        <v>64</v>
      </c>
      <c r="G55" s="335" t="s">
        <v>51</v>
      </c>
      <c r="H55" s="334">
        <v>3</v>
      </c>
      <c r="I55" s="334">
        <v>26</v>
      </c>
      <c r="J55" s="334">
        <v>5</v>
      </c>
      <c r="K55" s="334">
        <v>94</v>
      </c>
    </row>
    <row r="56" spans="1:12" s="53" customFormat="1" ht="15" customHeight="1" x14ac:dyDescent="0.2">
      <c r="A56" s="119"/>
      <c r="B56" s="281"/>
      <c r="C56" s="281"/>
      <c r="D56" s="169">
        <v>2017</v>
      </c>
      <c r="E56" s="200">
        <f>SUM(F56:K56)</f>
        <v>184</v>
      </c>
      <c r="F56" s="334">
        <f>49+3</f>
        <v>52</v>
      </c>
      <c r="G56" s="335" t="s">
        <v>51</v>
      </c>
      <c r="H56" s="334">
        <v>2</v>
      </c>
      <c r="I56" s="334">
        <v>15</v>
      </c>
      <c r="J56" s="335" t="s">
        <v>51</v>
      </c>
      <c r="K56" s="334">
        <f>2+9+41+9+54</f>
        <v>115</v>
      </c>
    </row>
    <row r="57" spans="1:12" s="53" customFormat="1" ht="15" customHeight="1" x14ac:dyDescent="0.25">
      <c r="A57" s="119"/>
      <c r="B57" s="281"/>
      <c r="C57" s="281"/>
      <c r="D57" s="169">
        <v>2018</v>
      </c>
      <c r="E57" s="200">
        <f>SUM(F57:K57)</f>
        <v>241</v>
      </c>
      <c r="F57" s="392">
        <v>77</v>
      </c>
      <c r="G57" s="393" t="s">
        <v>51</v>
      </c>
      <c r="H57" s="393" t="s">
        <v>51</v>
      </c>
      <c r="I57" s="392">
        <v>13</v>
      </c>
      <c r="J57" s="393" t="s">
        <v>51</v>
      </c>
      <c r="K57" s="392">
        <v>151</v>
      </c>
    </row>
    <row r="58" spans="1:12" ht="8.1" customHeight="1" thickBot="1" x14ac:dyDescent="0.25">
      <c r="A58" s="34"/>
      <c r="B58" s="297"/>
      <c r="C58" s="297"/>
      <c r="D58" s="265"/>
      <c r="E58" s="202"/>
      <c r="F58" s="202"/>
      <c r="G58" s="202"/>
      <c r="H58" s="202"/>
      <c r="I58" s="202"/>
      <c r="J58" s="202"/>
      <c r="K58" s="202"/>
      <c r="L58" s="34"/>
    </row>
    <row r="59" spans="1:12" x14ac:dyDescent="0.25">
      <c r="I59" s="268"/>
      <c r="J59" s="208"/>
      <c r="K59" s="8" t="s">
        <v>101</v>
      </c>
    </row>
    <row r="60" spans="1:12" x14ac:dyDescent="0.25">
      <c r="I60" s="267"/>
      <c r="J60" s="207"/>
      <c r="K60" s="41" t="s">
        <v>1</v>
      </c>
    </row>
  </sheetData>
  <mergeCells count="6">
    <mergeCell ref="K10:K11"/>
    <mergeCell ref="B10:C11"/>
    <mergeCell ref="E10:E11"/>
    <mergeCell ref="F10:F11"/>
    <mergeCell ref="G10:I10"/>
    <mergeCell ref="J10:J11"/>
  </mergeCells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7"/>
  <sheetViews>
    <sheetView showGridLines="0" tabSelected="1" topLeftCell="A21" zoomScaleNormal="100" zoomScaleSheetLayoutView="100" workbookViewId="0">
      <selection activeCell="J23" sqref="J23"/>
    </sheetView>
  </sheetViews>
  <sheetFormatPr defaultRowHeight="15" x14ac:dyDescent="0.25"/>
  <cols>
    <col min="1" max="1" width="1.7109375" style="2" customWidth="1"/>
    <col min="2" max="2" width="10.42578125" style="3" customWidth="1"/>
    <col min="3" max="3" width="8.140625" style="3" customWidth="1"/>
    <col min="4" max="4" width="9.28515625" style="3" customWidth="1"/>
    <col min="5" max="5" width="10.28515625" style="4" customWidth="1"/>
    <col min="6" max="6" width="11.7109375" style="5" customWidth="1"/>
    <col min="7" max="7" width="10.5703125" style="5" customWidth="1"/>
    <col min="8" max="8" width="11.7109375" style="209" customWidth="1"/>
    <col min="9" max="9" width="12.28515625" style="5" customWidth="1"/>
    <col min="10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96"/>
      <c r="E12" s="286"/>
      <c r="F12" s="287"/>
      <c r="G12" s="286"/>
      <c r="H12" s="286"/>
      <c r="I12" s="286"/>
      <c r="J12" s="287"/>
      <c r="K12" s="286"/>
    </row>
    <row r="13" spans="1:12" s="105" customFormat="1" ht="15.95" customHeight="1" x14ac:dyDescent="0.2">
      <c r="A13" s="53"/>
      <c r="B13" s="64" t="s">
        <v>213</v>
      </c>
      <c r="C13" s="64"/>
      <c r="D13" s="65">
        <v>2016</v>
      </c>
      <c r="E13" s="166">
        <f>SUM(F13:K13)</f>
        <v>5873</v>
      </c>
      <c r="F13" s="166">
        <f>SUM(F17,F21,F25,F29,F33,F37,F41,F45,'1.7Sarawak (2)'!F15,'1.7Sarawak (2)'!F19,'1.7Sarawak (2)'!F23,'1.7Sarawak (2)'!F27,'1.7Sarawak (2)'!F31,'1.7Sarawak (2)'!F35,'1.7Sarawak (2)'!F39,'1.7Sarawak (2)'!F43,'1.7Sarawak (2)'!F47,'1.7Sarawak (2)'!F51,'1.7Sarawak (3)'!F16,'1.7Sarawak (3)'!F20,'1.7Sarawak (3)'!F24,'1.7Sarawak (3)'!F28,'1.7Sarawak (3)'!F32,'1.7Sarawak (3)'!F36,'1.7Sarawak (3)'!F40,'1.7Sarawak (3)'!F44,'1.7Sarawak (3)'!F48,'1.7Sarawak (3)'!F52)</f>
        <v>1540</v>
      </c>
      <c r="G13" s="166">
        <f>SUM(G17,G21,G25,G29,G33,G37,G41,G45,'1.7Sarawak (2)'!G15,'1.7Sarawak (2)'!G19,'1.7Sarawak (2)'!G23,'1.7Sarawak (2)'!G27,'1.7Sarawak (2)'!G31,'1.7Sarawak (2)'!G35,'1.7Sarawak (2)'!G39,'1.7Sarawak (2)'!G43,'1.7Sarawak (2)'!G47,'1.7Sarawak (2)'!G51,'1.7Sarawak (3)'!G16,'1.7Sarawak (3)'!G20,'1.7Sarawak (3)'!G24,'1.7Sarawak (3)'!G28,'1.7Sarawak (3)'!G32,'1.7Sarawak (3)'!G36,'1.7Sarawak (3)'!G40,'1.7Sarawak (3)'!G44,'1.7Sarawak (3)'!G48,'1.7Sarawak (3)'!G52)</f>
        <v>174</v>
      </c>
      <c r="H13" s="166">
        <f>SUM(H17,H21,H25,H29,H33,H37,H41,H45,'1.7Sarawak (2)'!H15,'1.7Sarawak (2)'!H19,'1.7Sarawak (2)'!H23,'1.7Sarawak (2)'!H27,'1.7Sarawak (2)'!H31,'1.7Sarawak (2)'!H35,'1.7Sarawak (2)'!H39,'1.7Sarawak (2)'!H43,'1.7Sarawak (2)'!H47,'1.7Sarawak (2)'!H51,'1.7Sarawak (3)'!H16,'1.7Sarawak (3)'!H20,'1.7Sarawak (3)'!H24,'1.7Sarawak (3)'!H28,'1.7Sarawak (3)'!H32,'1.7Sarawak (3)'!H36,'1.7Sarawak (3)'!H40,'1.7Sarawak (3)'!H44,'1.7Sarawak (3)'!H48,'1.7Sarawak (3)'!H52)</f>
        <v>748</v>
      </c>
      <c r="I13" s="166">
        <f>SUM(I17,I21,I25,I29,I33,I37,I41,I45,'1.7Sarawak (2)'!I15,'1.7Sarawak (2)'!I19,'1.7Sarawak (2)'!I23,'1.7Sarawak (2)'!I27,'1.7Sarawak (2)'!I31,'1.7Sarawak (2)'!I35,'1.7Sarawak (2)'!I39,'1.7Sarawak (2)'!I43,'1.7Sarawak (2)'!I47,'1.7Sarawak (2)'!I51,'1.7Sarawak (3)'!I16,'1.7Sarawak (3)'!I20,'1.7Sarawak (3)'!I24,'1.7Sarawak (3)'!I28,'1.7Sarawak (3)'!I32,'1.7Sarawak (3)'!I36,'1.7Sarawak (3)'!I40,'1.7Sarawak (3)'!I44,'1.7Sarawak (3)'!I48,'1.7Sarawak (3)'!I52)</f>
        <v>2006</v>
      </c>
      <c r="J13" s="166">
        <f>SUM(J17,J21,J25,J29,J33,J37,J41,J45,'1.7Sarawak (2)'!J15,'1.7Sarawak (2)'!J19,'1.7Sarawak (2)'!J23,'1.7Sarawak (2)'!J27,'1.7Sarawak (2)'!J31,'1.7Sarawak (2)'!J35,'1.7Sarawak (2)'!J39,'1.7Sarawak (2)'!J43,'1.7Sarawak (2)'!J47,'1.7Sarawak (2)'!J51,'1.7Sarawak (3)'!J16,'1.7Sarawak (3)'!J20,'1.7Sarawak (3)'!J24,'1.7Sarawak (3)'!J28,'1.7Sarawak (3)'!J32,'1.7Sarawak (3)'!J36,'1.7Sarawak (3)'!J40,'1.7Sarawak (3)'!J44,'1.7Sarawak (3)'!J48,'1.7Sarawak (3)'!J52)</f>
        <v>75</v>
      </c>
      <c r="K13" s="166">
        <f>SUM(K17,K21,K25,K29,K33,K37,K41,K45,'1.7Sarawak (2)'!K15,'1.7Sarawak (2)'!K19,'1.7Sarawak (2)'!K23,'1.7Sarawak (2)'!K27,'1.7Sarawak (2)'!K31,'1.7Sarawak (2)'!K35,'1.7Sarawak (2)'!K39,'1.7Sarawak (2)'!K43,'1.7Sarawak (2)'!K47,'1.7Sarawak (2)'!K51,'1.7Sarawak (3)'!K16,'1.7Sarawak (3)'!K20,'1.7Sarawak (3)'!K24,'1.7Sarawak (3)'!K28,'1.7Sarawak (3)'!K32,'1.7Sarawak (3)'!K36,'1.7Sarawak (3)'!K40,'1.7Sarawak (3)'!K44,'1.7Sarawak (3)'!K48,'1.7Sarawak (3)'!K52)</f>
        <v>1330</v>
      </c>
    </row>
    <row r="14" spans="1:12" s="105" customFormat="1" ht="15.95" customHeight="1" x14ac:dyDescent="0.2">
      <c r="A14" s="53"/>
      <c r="B14" s="64"/>
      <c r="C14" s="64"/>
      <c r="D14" s="65">
        <v>2017</v>
      </c>
      <c r="E14" s="166">
        <f>SUM(F14:K14)</f>
        <v>5505</v>
      </c>
      <c r="F14" s="166">
        <f>SUM(F18,F22,F26,F30,F34,F38,F42,F46,'1.7Sarawak (2)'!F16,'1.7Sarawak (2)'!F20,'1.7Sarawak (2)'!F24,'1.7Sarawak (2)'!F28,'1.7Sarawak (2)'!F32,'1.7Sarawak (2)'!F36,'1.7Sarawak (2)'!F40,'1.7Sarawak (2)'!F44,'1.7Sarawak (2)'!F48,'1.7Sarawak (2)'!F52,'1.7Sarawak (3)'!F17,'1.7Sarawak (3)'!F21,'1.7Sarawak (3)'!F25,'1.7Sarawak (3)'!F29,'1.7Sarawak (3)'!F33,'1.7Sarawak (3)'!F37,'1.7Sarawak (3)'!F41,'1.7Sarawak (3)'!F45,'1.7Sarawak (3)'!F49,'1.7Sarawak (3)'!F53)</f>
        <v>1314</v>
      </c>
      <c r="G14" s="166">
        <f>SUM(G18,G22,G26,G30,G34,G38,G42,G46,'1.7Sarawak (2)'!G16,'1.7Sarawak (2)'!G20,'1.7Sarawak (2)'!G24,'1.7Sarawak (2)'!G28,'1.7Sarawak (2)'!G32,'1.7Sarawak (2)'!G36,'1.7Sarawak (2)'!G40,'1.7Sarawak (2)'!G44,'1.7Sarawak (2)'!G48,'1.7Sarawak (2)'!G52,'1.7Sarawak (3)'!G17,'1.7Sarawak (3)'!G21,'1.7Sarawak (3)'!G25,'1.7Sarawak (3)'!G29,'1.7Sarawak (3)'!G33,'1.7Sarawak (3)'!G37,'1.7Sarawak (3)'!G41,'1.7Sarawak (3)'!G45,'1.7Sarawak (3)'!G49,'1.7Sarawak (3)'!G53)</f>
        <v>75</v>
      </c>
      <c r="H14" s="166">
        <f>SUM(H18,H22,H26,H30,H34,H38,H42,H46,'1.7Sarawak (2)'!H16,'1.7Sarawak (2)'!H20,'1.7Sarawak (2)'!H24,'1.7Sarawak (2)'!H28,'1.7Sarawak (2)'!H32,'1.7Sarawak (2)'!H36,'1.7Sarawak (2)'!H40,'1.7Sarawak (2)'!H44,'1.7Sarawak (2)'!H48,'1.7Sarawak (2)'!H52,'1.7Sarawak (3)'!H17,'1.7Sarawak (3)'!H21,'1.7Sarawak (3)'!H25,'1.7Sarawak (3)'!H29,'1.7Sarawak (3)'!H33,'1.7Sarawak (3)'!H37,'1.7Sarawak (3)'!H41,'1.7Sarawak (3)'!H45,'1.7Sarawak (3)'!H49,'1.7Sarawak (3)'!H53)</f>
        <v>574</v>
      </c>
      <c r="I14" s="166">
        <f>SUM(I18,I22,I26,I30,I34,I38,I42,I46,'1.7Sarawak (2)'!I16,'1.7Sarawak (2)'!I20,'1.7Sarawak (2)'!I24,'1.7Sarawak (2)'!I28,'1.7Sarawak (2)'!I32,'1.7Sarawak (2)'!I36,'1.7Sarawak (2)'!I40,'1.7Sarawak (2)'!I44,'1.7Sarawak (2)'!I48,'1.7Sarawak (2)'!I52,'1.7Sarawak (3)'!I17,'1.7Sarawak (3)'!I21,'1.7Sarawak (3)'!I25,'1.7Sarawak (3)'!I29,'1.7Sarawak (3)'!I33,'1.7Sarawak (3)'!I37,'1.7Sarawak (3)'!I41,'1.7Sarawak (3)'!I45,'1.7Sarawak (3)'!I49,'1.7Sarawak (3)'!I53)</f>
        <v>2258</v>
      </c>
      <c r="J14" s="166">
        <f>SUM(J18,J22,J26,J30,J34,J38,J42,J46,'1.7Sarawak (2)'!J16,'1.7Sarawak (2)'!J20,'1.7Sarawak (2)'!J24,'1.7Sarawak (2)'!J28,'1.7Sarawak (2)'!J32,'1.7Sarawak (2)'!J36,'1.7Sarawak (2)'!J40,'1.7Sarawak (2)'!J44,'1.7Sarawak (2)'!J48,'1.7Sarawak (2)'!J52,'1.7Sarawak (3)'!J17,'1.7Sarawak (3)'!J21,'1.7Sarawak (3)'!J25,'1.7Sarawak (3)'!J29,'1.7Sarawak (3)'!J33,'1.7Sarawak (3)'!J37,'1.7Sarawak (3)'!J41,'1.7Sarawak (3)'!J45,'1.7Sarawak (3)'!J49,'1.7Sarawak (3)'!J53)</f>
        <v>1</v>
      </c>
      <c r="K14" s="166">
        <f>SUM(K18,K22,K26,K30,K34,K38,K42,K46,'1.7Sarawak (2)'!K16,'1.7Sarawak (2)'!K20,'1.7Sarawak (2)'!K24,'1.7Sarawak (2)'!K28,'1.7Sarawak (2)'!K32,'1.7Sarawak (2)'!K36,'1.7Sarawak (2)'!K40,'1.7Sarawak (2)'!K44,'1.7Sarawak (2)'!K48,'1.7Sarawak (2)'!K52,'1.7Sarawak (3)'!K17,'1.7Sarawak (3)'!K21,'1.7Sarawak (3)'!K25,'1.7Sarawak (3)'!K29,'1.7Sarawak (3)'!K33,'1.7Sarawak (3)'!K37,'1.7Sarawak (3)'!K41,'1.7Sarawak (3)'!K45,'1.7Sarawak (3)'!K49,'1.7Sarawak (3)'!K53)</f>
        <v>1283</v>
      </c>
    </row>
    <row r="15" spans="1:12" s="105" customFormat="1" ht="15.95" customHeight="1" x14ac:dyDescent="0.2">
      <c r="A15" s="53"/>
      <c r="B15" s="64"/>
      <c r="C15" s="64"/>
      <c r="D15" s="65">
        <v>2018</v>
      </c>
      <c r="E15" s="166">
        <f>SUM(F15:K15)</f>
        <v>5019</v>
      </c>
      <c r="F15" s="166">
        <f>SUM(F19,F23,F27,F31,F35,F39,F43,F47,'1.7Sarawak (2)'!F17,'1.7Sarawak (2)'!F21,'1.7Sarawak (2)'!F25,'1.7Sarawak (2)'!F29,'1.7Sarawak (2)'!F33,'1.7Sarawak (2)'!F37,'1.7Sarawak (2)'!F41,'1.7Sarawak (2)'!F45,'1.7Sarawak (2)'!F49,'1.7Sarawak (2)'!F53,'1.7Sarawak (3)'!F18,'1.7Sarawak (3)'!F22,'1.7Sarawak (3)'!F26,'1.7Sarawak (3)'!F30,'1.7Sarawak (3)'!F34,'1.7Sarawak (3)'!F38,'1.7Sarawak (3)'!F42,'1.7Sarawak (3)'!F46,'1.7Sarawak (3)'!F50,'1.7Sarawak (3)'!F54)</f>
        <v>1497</v>
      </c>
      <c r="G15" s="166">
        <f>SUM(G19,G23,G27,G31,G35,G39,G43,G47,'1.7Sarawak (2)'!G17,'1.7Sarawak (2)'!G21,'1.7Sarawak (2)'!G25,'1.7Sarawak (2)'!G29,'1.7Sarawak (2)'!G33,'1.7Sarawak (2)'!G37,'1.7Sarawak (2)'!G41,'1.7Sarawak (2)'!G45,'1.7Sarawak (2)'!G49,'1.7Sarawak (2)'!G53,'1.7Sarawak (3)'!G18,'1.7Sarawak (3)'!G22,'1.7Sarawak (3)'!G26,'1.7Sarawak (3)'!G30,'1.7Sarawak (3)'!G34,'1.7Sarawak (3)'!G38,'1.7Sarawak (3)'!G42,'1.7Sarawak (3)'!G46,'1.7Sarawak (3)'!G50,'1.7Sarawak (3)'!G54)</f>
        <v>53</v>
      </c>
      <c r="H15" s="166">
        <f>SUM(H19,H23,H27,H31,H35,H39,H43,H47,'1.7Sarawak (2)'!H17,'1.7Sarawak (2)'!H21,'1.7Sarawak (2)'!H25,'1.7Sarawak (2)'!H29,'1.7Sarawak (2)'!H33,'1.7Sarawak (2)'!H37,'1.7Sarawak (2)'!H41,'1.7Sarawak (2)'!H45,'1.7Sarawak (2)'!H49,'1.7Sarawak (2)'!H53,'1.7Sarawak (3)'!H18,'1.7Sarawak (3)'!H22,'1.7Sarawak (3)'!H26,'1.7Sarawak (3)'!H30,'1.7Sarawak (3)'!H34,'1.7Sarawak (3)'!H38,'1.7Sarawak (3)'!H42,'1.7Sarawak (3)'!H46,'1.7Sarawak (3)'!H50,'1.7Sarawak (3)'!H54)</f>
        <v>386</v>
      </c>
      <c r="I15" s="166">
        <f>SUM(I19,I23,I27,I31,I35,I39,I43,I47,'1.7Sarawak (2)'!I17,'1.7Sarawak (2)'!I21,'1.7Sarawak (2)'!I25,'1.7Sarawak (2)'!I29,'1.7Sarawak (2)'!I33,'1.7Sarawak (2)'!I37,'1.7Sarawak (2)'!I41,'1.7Sarawak (2)'!I45,'1.7Sarawak (2)'!I49,'1.7Sarawak (2)'!I53,'1.7Sarawak (3)'!I18,'1.7Sarawak (3)'!I22,'1.7Sarawak (3)'!I26,'1.7Sarawak (3)'!I30,'1.7Sarawak (3)'!I34,'1.7Sarawak (3)'!I38,'1.7Sarawak (3)'!I42,'1.7Sarawak (3)'!I46,'1.7Sarawak (3)'!I50,'1.7Sarawak (3)'!I54)</f>
        <v>1692</v>
      </c>
      <c r="J15" s="166">
        <f>SUM(J19,J23,J27,J31,J35,J39,J43,J47,'1.7Sarawak (2)'!J17,'1.7Sarawak (2)'!J21,'1.7Sarawak (2)'!J25,'1.7Sarawak (2)'!J29,'1.7Sarawak (2)'!J33,'1.7Sarawak (2)'!J37,'1.7Sarawak (2)'!J41,'1.7Sarawak (2)'!J45,'1.7Sarawak (2)'!J49,'1.7Sarawak (2)'!J53,'1.7Sarawak (3)'!J18,'1.7Sarawak (3)'!J22,'1.7Sarawak (3)'!J26,'1.7Sarawak (3)'!J30,'1.7Sarawak (3)'!J34,'1.7Sarawak (3)'!J38,'1.7Sarawak (3)'!J42,'1.7Sarawak (3)'!J46,'1.7Sarawak (3)'!J50,'1.7Sarawak (3)'!J54)</f>
        <v>2</v>
      </c>
      <c r="K15" s="166">
        <f>SUM(K19,K23,K27,K31,K35,K39,K43,K47,'1.7Sarawak (2)'!K17,'1.7Sarawak (2)'!K21,'1.7Sarawak (2)'!K25,'1.7Sarawak (2)'!K29,'1.7Sarawak (2)'!K33,'1.7Sarawak (2)'!K37,'1.7Sarawak (2)'!K41,'1.7Sarawak (2)'!K45,'1.7Sarawak (2)'!K49,'1.7Sarawak (2)'!K53,'1.7Sarawak (3)'!K18,'1.7Sarawak (3)'!K22,'1.7Sarawak (3)'!K26,'1.7Sarawak (3)'!K30,'1.7Sarawak (3)'!K34,'1.7Sarawak (3)'!K38,'1.7Sarawak (3)'!K42,'1.7Sarawak (3)'!K46,'1.7Sarawak (3)'!K50,'1.7Sarawak (3)'!K54)</f>
        <v>1389</v>
      </c>
    </row>
    <row r="16" spans="1:12" s="105" customFormat="1" ht="15" customHeight="1" x14ac:dyDescent="0.2">
      <c r="A16" s="53"/>
      <c r="B16" s="64"/>
      <c r="C16" s="64"/>
      <c r="D16" s="65"/>
      <c r="E16" s="166"/>
      <c r="F16" s="166"/>
      <c r="G16" s="166"/>
      <c r="H16" s="166"/>
      <c r="I16" s="166"/>
      <c r="J16" s="166"/>
      <c r="K16" s="166"/>
    </row>
    <row r="17" spans="1:16" s="53" customFormat="1" ht="15.95" customHeight="1" x14ac:dyDescent="0.2">
      <c r="B17" s="281" t="s">
        <v>127</v>
      </c>
      <c r="C17" s="58"/>
      <c r="D17" s="162">
        <v>2016</v>
      </c>
      <c r="E17" s="167">
        <f t="shared" ref="E17:E19" si="0">SUM(F17:K17)</f>
        <v>41</v>
      </c>
      <c r="F17" s="167">
        <v>9</v>
      </c>
      <c r="G17" s="167">
        <v>3</v>
      </c>
      <c r="H17" s="167">
        <v>2</v>
      </c>
      <c r="I17" s="167">
        <v>25</v>
      </c>
      <c r="J17" s="165" t="s">
        <v>51</v>
      </c>
      <c r="K17" s="167">
        <v>2</v>
      </c>
    </row>
    <row r="18" spans="1:16" s="53" customFormat="1" ht="15.95" customHeight="1" x14ac:dyDescent="0.2">
      <c r="A18" s="86"/>
      <c r="B18" s="281"/>
      <c r="C18" s="58"/>
      <c r="D18" s="162">
        <v>2017</v>
      </c>
      <c r="E18" s="167">
        <f t="shared" si="0"/>
        <v>39</v>
      </c>
      <c r="F18" s="167">
        <v>9</v>
      </c>
      <c r="G18" s="167">
        <v>2</v>
      </c>
      <c r="H18" s="167">
        <v>1</v>
      </c>
      <c r="I18" s="167">
        <v>23</v>
      </c>
      <c r="J18" s="165" t="s">
        <v>51</v>
      </c>
      <c r="K18" s="167">
        <v>4</v>
      </c>
      <c r="P18" s="53" t="s">
        <v>214</v>
      </c>
    </row>
    <row r="19" spans="1:16" s="53" customFormat="1" ht="15.95" customHeight="1" x14ac:dyDescent="0.2">
      <c r="A19" s="105"/>
      <c r="B19" s="281"/>
      <c r="C19" s="58"/>
      <c r="D19" s="162">
        <v>2018</v>
      </c>
      <c r="E19" s="167">
        <f t="shared" si="0"/>
        <v>42</v>
      </c>
      <c r="F19" s="167">
        <v>11</v>
      </c>
      <c r="G19" s="167" t="s">
        <v>51</v>
      </c>
      <c r="H19" s="167">
        <v>2</v>
      </c>
      <c r="I19" s="167">
        <v>16</v>
      </c>
      <c r="J19" s="167" t="s">
        <v>51</v>
      </c>
      <c r="K19" s="167">
        <v>13</v>
      </c>
    </row>
    <row r="20" spans="1:16" s="53" customFormat="1" ht="15" customHeight="1" x14ac:dyDescent="0.2">
      <c r="A20" s="105"/>
      <c r="B20" s="281"/>
      <c r="C20" s="58"/>
      <c r="D20" s="162"/>
      <c r="E20" s="167"/>
      <c r="F20" s="167"/>
      <c r="G20" s="167"/>
      <c r="H20" s="167"/>
      <c r="I20" s="167"/>
      <c r="J20" s="167"/>
      <c r="K20" s="167"/>
    </row>
    <row r="21" spans="1:16" s="53" customFormat="1" ht="15.95" customHeight="1" x14ac:dyDescent="0.2">
      <c r="B21" s="281" t="s">
        <v>128</v>
      </c>
      <c r="C21" s="58"/>
      <c r="D21" s="162">
        <v>2016</v>
      </c>
      <c r="E21" s="167">
        <f t="shared" ref="E21:E23" si="1">SUM(F21:K21)</f>
        <v>55</v>
      </c>
      <c r="F21" s="167">
        <v>9</v>
      </c>
      <c r="G21" s="165" t="s">
        <v>51</v>
      </c>
      <c r="H21" s="167" t="s">
        <v>51</v>
      </c>
      <c r="I21" s="167">
        <v>2</v>
      </c>
      <c r="J21" s="165" t="s">
        <v>51</v>
      </c>
      <c r="K21" s="167">
        <v>44</v>
      </c>
    </row>
    <row r="22" spans="1:16" s="53" customFormat="1" ht="15.95" customHeight="1" x14ac:dyDescent="0.2">
      <c r="B22" s="281"/>
      <c r="C22" s="58"/>
      <c r="D22" s="162">
        <v>2017</v>
      </c>
      <c r="E22" s="167">
        <f t="shared" si="1"/>
        <v>67</v>
      </c>
      <c r="F22" s="167">
        <v>20</v>
      </c>
      <c r="G22" s="165">
        <v>1</v>
      </c>
      <c r="H22" s="165" t="s">
        <v>51</v>
      </c>
      <c r="I22" s="167">
        <v>2</v>
      </c>
      <c r="J22" s="165" t="s">
        <v>51</v>
      </c>
      <c r="K22" s="167">
        <v>44</v>
      </c>
    </row>
    <row r="23" spans="1:16" s="53" customFormat="1" ht="15.95" customHeight="1" x14ac:dyDescent="0.2">
      <c r="A23" s="105"/>
      <c r="B23" s="281"/>
      <c r="C23" s="58"/>
      <c r="D23" s="162">
        <v>2018</v>
      </c>
      <c r="E23" s="167">
        <f t="shared" si="1"/>
        <v>38</v>
      </c>
      <c r="F23" s="167">
        <v>9</v>
      </c>
      <c r="G23" s="167" t="s">
        <v>51</v>
      </c>
      <c r="H23" s="165">
        <v>1</v>
      </c>
      <c r="I23" s="167">
        <v>3</v>
      </c>
      <c r="J23" s="167" t="s">
        <v>51</v>
      </c>
      <c r="K23" s="167">
        <v>25</v>
      </c>
    </row>
    <row r="24" spans="1:16" s="53" customFormat="1" ht="15" customHeight="1" x14ac:dyDescent="0.2">
      <c r="A24" s="105"/>
      <c r="B24" s="281"/>
      <c r="C24" s="58"/>
      <c r="D24" s="162"/>
      <c r="E24" s="167"/>
      <c r="F24" s="167"/>
      <c r="G24" s="167"/>
      <c r="H24" s="167"/>
      <c r="I24" s="167"/>
      <c r="J24" s="167"/>
      <c r="K24" s="167"/>
    </row>
    <row r="25" spans="1:16" s="53" customFormat="1" ht="15.95" customHeight="1" x14ac:dyDescent="0.2">
      <c r="B25" s="281" t="s">
        <v>129</v>
      </c>
      <c r="C25" s="58"/>
      <c r="D25" s="162">
        <v>2016</v>
      </c>
      <c r="E25" s="167">
        <f t="shared" ref="E25:E27" si="2">SUM(F25:K25)</f>
        <v>69</v>
      </c>
      <c r="F25" s="167">
        <v>14</v>
      </c>
      <c r="G25" s="167" t="s">
        <v>51</v>
      </c>
      <c r="H25" s="167">
        <v>4</v>
      </c>
      <c r="I25" s="167">
        <v>37</v>
      </c>
      <c r="J25" s="165" t="s">
        <v>51</v>
      </c>
      <c r="K25" s="167">
        <v>14</v>
      </c>
    </row>
    <row r="26" spans="1:16" s="53" customFormat="1" ht="15.95" customHeight="1" x14ac:dyDescent="0.2">
      <c r="B26" s="281"/>
      <c r="C26" s="58"/>
      <c r="D26" s="162">
        <v>2017</v>
      </c>
      <c r="E26" s="167">
        <f t="shared" si="2"/>
        <v>45</v>
      </c>
      <c r="F26" s="167">
        <v>16</v>
      </c>
      <c r="G26" s="165">
        <v>1</v>
      </c>
      <c r="H26" s="167">
        <v>4</v>
      </c>
      <c r="I26" s="167">
        <v>17</v>
      </c>
      <c r="J26" s="165" t="s">
        <v>51</v>
      </c>
      <c r="K26" s="167">
        <v>7</v>
      </c>
      <c r="O26" s="105"/>
    </row>
    <row r="27" spans="1:16" s="53" customFormat="1" ht="15.95" customHeight="1" x14ac:dyDescent="0.2">
      <c r="A27" s="105"/>
      <c r="B27" s="281"/>
      <c r="C27" s="58"/>
      <c r="D27" s="162">
        <v>2018</v>
      </c>
      <c r="E27" s="167">
        <f t="shared" si="2"/>
        <v>62</v>
      </c>
      <c r="F27" s="167">
        <v>24</v>
      </c>
      <c r="G27" s="167" t="s">
        <v>51</v>
      </c>
      <c r="H27" s="167">
        <v>1</v>
      </c>
      <c r="I27" s="167">
        <v>16</v>
      </c>
      <c r="J27" s="167" t="s">
        <v>51</v>
      </c>
      <c r="K27" s="167">
        <v>21</v>
      </c>
    </row>
    <row r="28" spans="1:16" s="53" customFormat="1" ht="15" customHeight="1" x14ac:dyDescent="0.2">
      <c r="A28" s="105"/>
      <c r="B28" s="281"/>
      <c r="C28" s="58"/>
      <c r="D28" s="162"/>
      <c r="E28" s="167"/>
      <c r="F28" s="167"/>
      <c r="G28" s="167"/>
      <c r="H28" s="167"/>
      <c r="I28" s="167"/>
      <c r="J28" s="167"/>
      <c r="K28" s="167"/>
    </row>
    <row r="29" spans="1:16" s="53" customFormat="1" ht="15.95" customHeight="1" x14ac:dyDescent="0.2">
      <c r="B29" s="281" t="s">
        <v>130</v>
      </c>
      <c r="C29" s="58"/>
      <c r="D29" s="162">
        <v>2016</v>
      </c>
      <c r="E29" s="167">
        <f t="shared" ref="E29:E31" si="3">SUM(F29:K29)</f>
        <v>610</v>
      </c>
      <c r="F29" s="167">
        <v>157</v>
      </c>
      <c r="G29" s="167">
        <v>23</v>
      </c>
      <c r="H29" s="167">
        <v>115</v>
      </c>
      <c r="I29" s="167">
        <v>166</v>
      </c>
      <c r="J29" s="167">
        <v>3</v>
      </c>
      <c r="K29" s="167">
        <v>146</v>
      </c>
    </row>
    <row r="30" spans="1:16" s="53" customFormat="1" ht="15.95" customHeight="1" x14ac:dyDescent="0.2">
      <c r="B30" s="281"/>
      <c r="C30" s="58"/>
      <c r="D30" s="162">
        <v>2017</v>
      </c>
      <c r="E30" s="167">
        <f t="shared" si="3"/>
        <v>522</v>
      </c>
      <c r="F30" s="167">
        <v>145</v>
      </c>
      <c r="G30" s="167">
        <v>13</v>
      </c>
      <c r="H30" s="167">
        <v>68</v>
      </c>
      <c r="I30" s="167">
        <v>152</v>
      </c>
      <c r="J30" s="167" t="s">
        <v>51</v>
      </c>
      <c r="K30" s="167">
        <v>144</v>
      </c>
    </row>
    <row r="31" spans="1:16" s="53" customFormat="1" ht="15.95" customHeight="1" x14ac:dyDescent="0.2">
      <c r="A31" s="105"/>
      <c r="B31" s="281"/>
      <c r="C31" s="58"/>
      <c r="D31" s="162">
        <v>2018</v>
      </c>
      <c r="E31" s="167">
        <f t="shared" si="3"/>
        <v>429</v>
      </c>
      <c r="F31" s="167">
        <v>104</v>
      </c>
      <c r="G31" s="167">
        <v>6</v>
      </c>
      <c r="H31" s="167">
        <v>31</v>
      </c>
      <c r="I31" s="167">
        <v>155</v>
      </c>
      <c r="J31" s="167" t="s">
        <v>51</v>
      </c>
      <c r="K31" s="167">
        <v>133</v>
      </c>
    </row>
    <row r="32" spans="1:16" s="53" customFormat="1" ht="15" customHeight="1" x14ac:dyDescent="0.2">
      <c r="A32" s="105"/>
      <c r="B32" s="281"/>
      <c r="C32" s="58"/>
      <c r="D32" s="162"/>
      <c r="E32" s="167"/>
      <c r="F32" s="167"/>
      <c r="G32" s="167"/>
      <c r="H32" s="167"/>
      <c r="I32" s="167"/>
      <c r="J32" s="167"/>
      <c r="K32" s="167"/>
    </row>
    <row r="33" spans="1:12" s="53" customFormat="1" ht="15.95" customHeight="1" x14ac:dyDescent="0.2">
      <c r="B33" s="281" t="s">
        <v>131</v>
      </c>
      <c r="C33" s="58"/>
      <c r="D33" s="162">
        <v>2016</v>
      </c>
      <c r="E33" s="167">
        <f t="shared" ref="E33:E35" si="4">SUM(F33:K33)</f>
        <v>31</v>
      </c>
      <c r="F33" s="165">
        <v>13</v>
      </c>
      <c r="G33" s="165">
        <v>4</v>
      </c>
      <c r="H33" s="165">
        <v>1</v>
      </c>
      <c r="I33" s="167">
        <v>2</v>
      </c>
      <c r="J33" s="165" t="s">
        <v>51</v>
      </c>
      <c r="K33" s="167">
        <v>11</v>
      </c>
    </row>
    <row r="34" spans="1:12" s="53" customFormat="1" ht="15.95" customHeight="1" x14ac:dyDescent="0.2">
      <c r="B34" s="281"/>
      <c r="C34" s="58"/>
      <c r="D34" s="162">
        <v>2017</v>
      </c>
      <c r="E34" s="167">
        <f t="shared" si="4"/>
        <v>26</v>
      </c>
      <c r="F34" s="167">
        <v>8</v>
      </c>
      <c r="G34" s="167" t="s">
        <v>51</v>
      </c>
      <c r="H34" s="167">
        <v>1</v>
      </c>
      <c r="I34" s="167">
        <v>10</v>
      </c>
      <c r="J34" s="165" t="s">
        <v>51</v>
      </c>
      <c r="K34" s="167">
        <v>7</v>
      </c>
    </row>
    <row r="35" spans="1:12" s="53" customFormat="1" ht="15.95" customHeight="1" x14ac:dyDescent="0.2">
      <c r="A35" s="105"/>
      <c r="B35" s="281"/>
      <c r="C35" s="58"/>
      <c r="D35" s="162">
        <v>2018</v>
      </c>
      <c r="E35" s="167">
        <f t="shared" si="4"/>
        <v>16</v>
      </c>
      <c r="F35" s="167">
        <v>4</v>
      </c>
      <c r="G35" s="167" t="s">
        <v>51</v>
      </c>
      <c r="H35" s="167" t="s">
        <v>51</v>
      </c>
      <c r="I35" s="167">
        <v>1</v>
      </c>
      <c r="J35" s="167" t="s">
        <v>51</v>
      </c>
      <c r="K35" s="167">
        <v>11</v>
      </c>
    </row>
    <row r="36" spans="1:12" s="53" customFormat="1" ht="15" customHeight="1" x14ac:dyDescent="0.2">
      <c r="A36" s="105"/>
      <c r="B36" s="281"/>
      <c r="C36" s="58"/>
      <c r="D36" s="162"/>
      <c r="E36" s="167"/>
      <c r="F36" s="167"/>
      <c r="G36" s="167"/>
      <c r="H36" s="167"/>
      <c r="I36" s="167"/>
      <c r="J36" s="167"/>
      <c r="K36" s="167"/>
    </row>
    <row r="37" spans="1:12" s="53" customFormat="1" ht="15.95" customHeight="1" x14ac:dyDescent="0.2">
      <c r="B37" s="281" t="s">
        <v>132</v>
      </c>
      <c r="C37" s="58"/>
      <c r="D37" s="162">
        <v>2016</v>
      </c>
      <c r="E37" s="167">
        <f t="shared" ref="E37:E39" si="5">SUM(F37:K37)</f>
        <v>10</v>
      </c>
      <c r="F37" s="167">
        <v>1</v>
      </c>
      <c r="G37" s="167">
        <v>1</v>
      </c>
      <c r="H37" s="165">
        <v>2</v>
      </c>
      <c r="I37" s="167">
        <v>2</v>
      </c>
      <c r="J37" s="165" t="s">
        <v>51</v>
      </c>
      <c r="K37" s="167">
        <v>4</v>
      </c>
    </row>
    <row r="38" spans="1:12" s="53" customFormat="1" ht="15.95" customHeight="1" x14ac:dyDescent="0.2">
      <c r="B38" s="281"/>
      <c r="C38" s="58"/>
      <c r="D38" s="162">
        <v>2017</v>
      </c>
      <c r="E38" s="167">
        <f t="shared" si="5"/>
        <v>6</v>
      </c>
      <c r="F38" s="167">
        <v>1</v>
      </c>
      <c r="G38" s="167" t="s">
        <v>51</v>
      </c>
      <c r="H38" s="167">
        <v>1</v>
      </c>
      <c r="I38" s="167">
        <v>2</v>
      </c>
      <c r="J38" s="165" t="s">
        <v>51</v>
      </c>
      <c r="K38" s="167">
        <v>2</v>
      </c>
    </row>
    <row r="39" spans="1:12" s="53" customFormat="1" ht="15.95" customHeight="1" x14ac:dyDescent="0.2">
      <c r="A39" s="105"/>
      <c r="B39" s="281"/>
      <c r="C39" s="58"/>
      <c r="D39" s="162">
        <v>2018</v>
      </c>
      <c r="E39" s="167">
        <f t="shared" si="5"/>
        <v>5</v>
      </c>
      <c r="F39" s="167">
        <v>1</v>
      </c>
      <c r="G39" s="167" t="s">
        <v>51</v>
      </c>
      <c r="H39" s="167">
        <v>1</v>
      </c>
      <c r="I39" s="167">
        <v>1</v>
      </c>
      <c r="J39" s="167" t="s">
        <v>51</v>
      </c>
      <c r="K39" s="167">
        <v>2</v>
      </c>
    </row>
    <row r="40" spans="1:12" s="53" customFormat="1" ht="15" customHeight="1" x14ac:dyDescent="0.2">
      <c r="A40" s="105"/>
      <c r="B40" s="281"/>
      <c r="C40" s="58"/>
      <c r="D40" s="162"/>
      <c r="E40" s="167"/>
      <c r="F40" s="167"/>
      <c r="G40" s="167"/>
      <c r="H40" s="167"/>
      <c r="I40" s="167"/>
      <c r="J40" s="167"/>
      <c r="K40" s="167"/>
    </row>
    <row r="41" spans="1:12" s="53" customFormat="1" ht="15.95" customHeight="1" x14ac:dyDescent="0.2">
      <c r="B41" s="281" t="s">
        <v>133</v>
      </c>
      <c r="C41" s="58"/>
      <c r="D41" s="162">
        <v>2016</v>
      </c>
      <c r="E41" s="167">
        <f t="shared" ref="E41:E43" si="6">SUM(F41:K41)</f>
        <v>22</v>
      </c>
      <c r="F41" s="167">
        <v>2</v>
      </c>
      <c r="G41" s="165" t="s">
        <v>51</v>
      </c>
      <c r="H41" s="167">
        <v>3</v>
      </c>
      <c r="I41" s="167">
        <v>6</v>
      </c>
      <c r="J41" s="165" t="s">
        <v>51</v>
      </c>
      <c r="K41" s="167">
        <v>11</v>
      </c>
    </row>
    <row r="42" spans="1:12" s="53" customFormat="1" ht="15.95" customHeight="1" x14ac:dyDescent="0.2">
      <c r="B42" s="281"/>
      <c r="C42" s="58"/>
      <c r="D42" s="162">
        <v>2017</v>
      </c>
      <c r="E42" s="167">
        <f t="shared" si="6"/>
        <v>23</v>
      </c>
      <c r="F42" s="167">
        <v>1</v>
      </c>
      <c r="G42" s="165">
        <v>1</v>
      </c>
      <c r="H42" s="167">
        <v>5</v>
      </c>
      <c r="I42" s="167">
        <v>10</v>
      </c>
      <c r="J42" s="165" t="s">
        <v>51</v>
      </c>
      <c r="K42" s="167">
        <v>6</v>
      </c>
    </row>
    <row r="43" spans="1:12" s="53" customFormat="1" ht="15.95" customHeight="1" x14ac:dyDescent="0.2">
      <c r="A43" s="105"/>
      <c r="B43" s="281"/>
      <c r="C43" s="58"/>
      <c r="D43" s="162">
        <v>2018</v>
      </c>
      <c r="E43" s="167">
        <f t="shared" si="6"/>
        <v>7</v>
      </c>
      <c r="F43" s="167">
        <v>3</v>
      </c>
      <c r="G43" s="167" t="s">
        <v>51</v>
      </c>
      <c r="H43" s="167" t="s">
        <v>51</v>
      </c>
      <c r="I43" s="167" t="s">
        <v>51</v>
      </c>
      <c r="J43" s="167" t="s">
        <v>51</v>
      </c>
      <c r="K43" s="167">
        <v>4</v>
      </c>
    </row>
    <row r="44" spans="1:12" s="53" customFormat="1" ht="15" customHeight="1" x14ac:dyDescent="0.2">
      <c r="A44" s="105"/>
      <c r="B44" s="281"/>
      <c r="C44" s="58"/>
      <c r="D44" s="162"/>
      <c r="E44" s="167"/>
      <c r="F44" s="167"/>
      <c r="G44" s="167"/>
      <c r="H44" s="167"/>
      <c r="I44" s="167"/>
      <c r="J44" s="167"/>
      <c r="K44" s="167"/>
    </row>
    <row r="45" spans="1:12" s="53" customFormat="1" ht="15.95" customHeight="1" x14ac:dyDescent="0.2">
      <c r="B45" s="281" t="s">
        <v>134</v>
      </c>
      <c r="C45" s="58"/>
      <c r="D45" s="162">
        <v>2016</v>
      </c>
      <c r="E45" s="167">
        <f t="shared" ref="E45:E47" si="7">SUM(F45:K45)</f>
        <v>56</v>
      </c>
      <c r="F45" s="167">
        <v>7</v>
      </c>
      <c r="G45" s="165">
        <v>1</v>
      </c>
      <c r="H45" s="165" t="s">
        <v>51</v>
      </c>
      <c r="I45" s="167">
        <v>27</v>
      </c>
      <c r="J45" s="165" t="s">
        <v>51</v>
      </c>
      <c r="K45" s="167">
        <v>21</v>
      </c>
    </row>
    <row r="46" spans="1:12" s="53" customFormat="1" ht="15.95" customHeight="1" x14ac:dyDescent="0.2">
      <c r="B46" s="281"/>
      <c r="C46" s="58"/>
      <c r="D46" s="162">
        <v>2017</v>
      </c>
      <c r="E46" s="167">
        <f t="shared" si="7"/>
        <v>57</v>
      </c>
      <c r="F46" s="167">
        <v>21</v>
      </c>
      <c r="G46" s="167" t="s">
        <v>51</v>
      </c>
      <c r="H46" s="165" t="s">
        <v>51</v>
      </c>
      <c r="I46" s="167">
        <v>4</v>
      </c>
      <c r="J46" s="165" t="s">
        <v>51</v>
      </c>
      <c r="K46" s="167">
        <v>32</v>
      </c>
    </row>
    <row r="47" spans="1:12" s="53" customFormat="1" ht="15.95" customHeight="1" x14ac:dyDescent="0.2">
      <c r="A47" s="105"/>
      <c r="B47" s="281"/>
      <c r="C47" s="58"/>
      <c r="D47" s="162">
        <v>2018</v>
      </c>
      <c r="E47" s="167">
        <f t="shared" si="7"/>
        <v>40</v>
      </c>
      <c r="F47" s="167">
        <v>10</v>
      </c>
      <c r="G47" s="165">
        <v>1</v>
      </c>
      <c r="H47" s="165">
        <v>1</v>
      </c>
      <c r="I47" s="167">
        <v>5</v>
      </c>
      <c r="J47" s="167" t="s">
        <v>51</v>
      </c>
      <c r="K47" s="167">
        <v>23</v>
      </c>
    </row>
    <row r="48" spans="1:12" ht="8.1" customHeight="1" thickBot="1" x14ac:dyDescent="0.3">
      <c r="A48" s="103"/>
      <c r="B48" s="297"/>
      <c r="C48" s="16"/>
      <c r="D48" s="188"/>
      <c r="E48" s="12"/>
      <c r="F48" s="12"/>
      <c r="G48" s="12"/>
      <c r="H48" s="12"/>
      <c r="I48" s="12"/>
      <c r="J48" s="12"/>
      <c r="K48" s="12"/>
      <c r="L48" s="34"/>
    </row>
    <row r="49" spans="2:11" x14ac:dyDescent="0.25">
      <c r="B49" s="205"/>
      <c r="C49" s="205"/>
      <c r="D49" s="205"/>
      <c r="E49" s="269"/>
      <c r="F49" s="399"/>
      <c r="G49" s="410"/>
      <c r="H49" s="399"/>
      <c r="I49" s="399"/>
      <c r="J49" s="399"/>
      <c r="K49" s="175" t="s">
        <v>101</v>
      </c>
    </row>
    <row r="50" spans="2:11" x14ac:dyDescent="0.25">
      <c r="B50" s="266"/>
      <c r="C50" s="266"/>
      <c r="D50" s="266"/>
      <c r="E50" s="269"/>
      <c r="F50" s="399"/>
      <c r="G50" s="399"/>
      <c r="H50" s="399"/>
      <c r="I50" s="399"/>
      <c r="J50" s="399"/>
      <c r="K50" s="176" t="s">
        <v>1</v>
      </c>
    </row>
    <row r="51" spans="2:11" x14ac:dyDescent="0.25">
      <c r="E51" s="21"/>
      <c r="F51" s="174"/>
      <c r="G51" s="174"/>
      <c r="H51" s="174"/>
      <c r="I51" s="174"/>
      <c r="J51" s="174"/>
      <c r="K51" s="174"/>
    </row>
    <row r="52" spans="2:11" x14ac:dyDescent="0.25">
      <c r="E52" s="21"/>
      <c r="F52" s="174"/>
      <c r="G52" s="174"/>
      <c r="H52" s="174"/>
      <c r="I52" s="174"/>
      <c r="J52" s="174"/>
      <c r="K52" s="174"/>
    </row>
    <row r="53" spans="2:11" x14ac:dyDescent="0.25">
      <c r="E53" s="21"/>
      <c r="F53" s="174"/>
      <c r="G53" s="174"/>
      <c r="H53" s="174"/>
      <c r="I53" s="174"/>
      <c r="J53" s="174"/>
      <c r="K53" s="174"/>
    </row>
    <row r="54" spans="2:11" x14ac:dyDescent="0.25">
      <c r="E54" s="21"/>
      <c r="F54" s="174"/>
      <c r="G54" s="174"/>
      <c r="H54" s="174"/>
      <c r="I54" s="174"/>
      <c r="J54" s="174"/>
      <c r="K54" s="174"/>
    </row>
    <row r="55" spans="2:11" x14ac:dyDescent="0.25">
      <c r="E55" s="21"/>
      <c r="F55" s="174"/>
      <c r="G55" s="174"/>
      <c r="H55" s="174"/>
      <c r="I55" s="174"/>
      <c r="J55" s="174"/>
      <c r="K55" s="174"/>
    </row>
    <row r="56" spans="2:11" x14ac:dyDescent="0.25">
      <c r="F56" s="401"/>
      <c r="G56" s="401"/>
      <c r="H56" s="402"/>
      <c r="I56" s="401"/>
      <c r="J56" s="15"/>
      <c r="K56" s="15"/>
    </row>
    <row r="57" spans="2:11" x14ac:dyDescent="0.25">
      <c r="F57" s="401"/>
      <c r="G57" s="401"/>
      <c r="H57" s="402"/>
      <c r="I57" s="401"/>
      <c r="J57" s="15"/>
      <c r="K57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7"/>
  <sheetViews>
    <sheetView showGridLines="0" tabSelected="1" zoomScaleNormal="100" zoomScaleSheetLayoutView="100" workbookViewId="0">
      <selection activeCell="J23" sqref="J23"/>
    </sheetView>
  </sheetViews>
  <sheetFormatPr defaultRowHeight="15" x14ac:dyDescent="0.25"/>
  <cols>
    <col min="1" max="1" width="1.7109375" style="2" customWidth="1"/>
    <col min="2" max="2" width="10.5703125" style="3" customWidth="1"/>
    <col min="3" max="3" width="8.85546875" style="3" customWidth="1"/>
    <col min="4" max="4" width="9.42578125" style="3" customWidth="1"/>
    <col min="5" max="5" width="11.7109375" style="4" customWidth="1"/>
    <col min="6" max="6" width="11.7109375" style="5" customWidth="1"/>
    <col min="7" max="7" width="10.140625" style="5" customWidth="1"/>
    <col min="8" max="8" width="11.7109375" style="209" customWidth="1"/>
    <col min="9" max="9" width="12.28515625" style="5" customWidth="1"/>
    <col min="10" max="10" width="10.140625" style="2" customWidth="1"/>
    <col min="11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96"/>
      <c r="E12" s="286"/>
      <c r="F12" s="287"/>
      <c r="G12" s="286"/>
      <c r="H12" s="286"/>
      <c r="I12" s="286"/>
      <c r="J12" s="287"/>
      <c r="K12" s="286"/>
    </row>
    <row r="13" spans="1:12" s="105" customFormat="1" ht="15" customHeight="1" x14ac:dyDescent="0.2">
      <c r="A13" s="53"/>
      <c r="B13" s="299" t="s">
        <v>126</v>
      </c>
      <c r="C13" s="64"/>
      <c r="D13" s="64"/>
      <c r="E13" s="167"/>
      <c r="F13" s="166"/>
      <c r="G13" s="166"/>
      <c r="H13" s="166"/>
      <c r="I13" s="166"/>
      <c r="J13" s="166"/>
      <c r="K13" s="166"/>
    </row>
    <row r="14" spans="1:12" s="53" customFormat="1" ht="8.1" customHeight="1" x14ac:dyDescent="0.2">
      <c r="A14" s="105"/>
      <c r="B14" s="281"/>
      <c r="C14" s="58"/>
      <c r="D14" s="64"/>
      <c r="E14" s="167"/>
      <c r="F14" s="167"/>
      <c r="G14" s="167"/>
      <c r="H14" s="167"/>
      <c r="I14" s="167"/>
      <c r="J14" s="167"/>
      <c r="K14" s="167"/>
    </row>
    <row r="15" spans="1:12" s="105" customFormat="1" ht="15" customHeight="1" x14ac:dyDescent="0.2">
      <c r="A15" s="53"/>
      <c r="B15" s="281" t="s">
        <v>135</v>
      </c>
      <c r="C15" s="58"/>
      <c r="D15" s="162">
        <v>2016</v>
      </c>
      <c r="E15" s="167">
        <f>SUM(F15:K15)</f>
        <v>258</v>
      </c>
      <c r="F15" s="167">
        <v>92</v>
      </c>
      <c r="G15" s="167">
        <v>5</v>
      </c>
      <c r="H15" s="167">
        <v>39</v>
      </c>
      <c r="I15" s="167">
        <v>89</v>
      </c>
      <c r="J15" s="167">
        <v>2</v>
      </c>
      <c r="K15" s="167">
        <v>31</v>
      </c>
    </row>
    <row r="16" spans="1:12" s="105" customFormat="1" ht="15" customHeight="1" x14ac:dyDescent="0.2">
      <c r="A16" s="53"/>
      <c r="B16" s="281"/>
      <c r="C16" s="58"/>
      <c r="D16" s="162">
        <v>2017</v>
      </c>
      <c r="E16" s="167">
        <f>SUM(F16:K16)</f>
        <v>285</v>
      </c>
      <c r="F16" s="167">
        <v>85</v>
      </c>
      <c r="G16" s="167">
        <v>1</v>
      </c>
      <c r="H16" s="167">
        <v>23</v>
      </c>
      <c r="I16" s="167">
        <v>134</v>
      </c>
      <c r="J16" s="167" t="s">
        <v>51</v>
      </c>
      <c r="K16" s="167">
        <v>42</v>
      </c>
    </row>
    <row r="17" spans="1:11" s="105" customFormat="1" ht="15" customHeight="1" x14ac:dyDescent="0.2">
      <c r="B17" s="281"/>
      <c r="C17" s="58"/>
      <c r="D17" s="162">
        <v>2018</v>
      </c>
      <c r="E17" s="167">
        <f>SUM(F17:K17)</f>
        <v>316</v>
      </c>
      <c r="F17" s="167">
        <v>67</v>
      </c>
      <c r="G17" s="167">
        <v>2</v>
      </c>
      <c r="H17" s="167">
        <v>22</v>
      </c>
      <c r="I17" s="167">
        <v>177</v>
      </c>
      <c r="J17" s="167" t="s">
        <v>51</v>
      </c>
      <c r="K17" s="167">
        <v>48</v>
      </c>
    </row>
    <row r="18" spans="1:11" s="105" customFormat="1" ht="15" customHeight="1" x14ac:dyDescent="0.2">
      <c r="B18" s="281"/>
      <c r="C18" s="58"/>
      <c r="D18" s="162"/>
      <c r="E18" s="167"/>
      <c r="F18" s="167"/>
      <c r="G18" s="167"/>
      <c r="H18" s="167"/>
      <c r="I18" s="167"/>
      <c r="J18" s="167"/>
      <c r="K18" s="167"/>
    </row>
    <row r="19" spans="1:11" s="105" customFormat="1" ht="15" customHeight="1" x14ac:dyDescent="0.2">
      <c r="A19" s="53"/>
      <c r="B19" s="281" t="s">
        <v>136</v>
      </c>
      <c r="C19" s="58"/>
      <c r="D19" s="162">
        <v>2016</v>
      </c>
      <c r="E19" s="167">
        <f>SUM(F19:K19)</f>
        <v>1392</v>
      </c>
      <c r="F19" s="167">
        <v>306</v>
      </c>
      <c r="G19" s="167">
        <v>18</v>
      </c>
      <c r="H19" s="167">
        <v>210</v>
      </c>
      <c r="I19" s="167">
        <v>521</v>
      </c>
      <c r="J19" s="167">
        <v>32</v>
      </c>
      <c r="K19" s="167">
        <v>305</v>
      </c>
    </row>
    <row r="20" spans="1:11" s="105" customFormat="1" ht="15" customHeight="1" x14ac:dyDescent="0.2">
      <c r="A20" s="53"/>
      <c r="B20" s="281"/>
      <c r="C20" s="58"/>
      <c r="D20" s="162">
        <v>2017</v>
      </c>
      <c r="E20" s="167">
        <f>SUM(F20:K20)</f>
        <v>1374</v>
      </c>
      <c r="F20" s="167">
        <v>293</v>
      </c>
      <c r="G20" s="167">
        <v>11</v>
      </c>
      <c r="H20" s="167">
        <v>184</v>
      </c>
      <c r="I20" s="167">
        <v>641</v>
      </c>
      <c r="J20" s="167" t="s">
        <v>51</v>
      </c>
      <c r="K20" s="167">
        <v>245</v>
      </c>
    </row>
    <row r="21" spans="1:11" s="105" customFormat="1" ht="15" customHeight="1" x14ac:dyDescent="0.2">
      <c r="B21" s="281"/>
      <c r="C21" s="58"/>
      <c r="D21" s="162">
        <v>2018</v>
      </c>
      <c r="E21" s="167">
        <f>SUM(F21:K21)</f>
        <v>1161</v>
      </c>
      <c r="F21" s="167">
        <v>273</v>
      </c>
      <c r="G21" s="167">
        <v>12</v>
      </c>
      <c r="H21" s="167">
        <v>98</v>
      </c>
      <c r="I21" s="167">
        <v>504</v>
      </c>
      <c r="J21" s="167" t="s">
        <v>51</v>
      </c>
      <c r="K21" s="167">
        <v>274</v>
      </c>
    </row>
    <row r="22" spans="1:11" s="105" customFormat="1" ht="15" customHeight="1" x14ac:dyDescent="0.2">
      <c r="B22" s="281"/>
      <c r="C22" s="58"/>
      <c r="D22" s="162"/>
      <c r="E22" s="167"/>
      <c r="F22" s="167"/>
      <c r="G22" s="167"/>
      <c r="H22" s="167"/>
      <c r="I22" s="167"/>
      <c r="J22" s="167"/>
      <c r="K22" s="167"/>
    </row>
    <row r="23" spans="1:11" s="105" customFormat="1" ht="15" customHeight="1" x14ac:dyDescent="0.2">
      <c r="A23" s="53"/>
      <c r="B23" s="281" t="s">
        <v>137</v>
      </c>
      <c r="C23" s="58"/>
      <c r="D23" s="162">
        <v>2016</v>
      </c>
      <c r="E23" s="167">
        <f>SUM(F23:K23)</f>
        <v>46</v>
      </c>
      <c r="F23" s="167">
        <v>14</v>
      </c>
      <c r="G23" s="165" t="s">
        <v>51</v>
      </c>
      <c r="H23" s="167">
        <v>1</v>
      </c>
      <c r="I23" s="167">
        <v>14</v>
      </c>
      <c r="J23" s="165" t="s">
        <v>51</v>
      </c>
      <c r="K23" s="167">
        <v>17</v>
      </c>
    </row>
    <row r="24" spans="1:11" s="105" customFormat="1" ht="15" customHeight="1" x14ac:dyDescent="0.2">
      <c r="A24" s="53"/>
      <c r="B24" s="281"/>
      <c r="C24" s="58"/>
      <c r="D24" s="162">
        <v>2017</v>
      </c>
      <c r="E24" s="167">
        <f>SUM(F24:K24)</f>
        <v>37</v>
      </c>
      <c r="F24" s="167">
        <v>18</v>
      </c>
      <c r="G24" s="165">
        <v>1</v>
      </c>
      <c r="H24" s="167">
        <v>2</v>
      </c>
      <c r="I24" s="167">
        <v>7</v>
      </c>
      <c r="J24" s="165" t="s">
        <v>51</v>
      </c>
      <c r="K24" s="167">
        <v>9</v>
      </c>
    </row>
    <row r="25" spans="1:11" s="105" customFormat="1" ht="15" customHeight="1" x14ac:dyDescent="0.2">
      <c r="B25" s="281"/>
      <c r="C25" s="58"/>
      <c r="D25" s="162">
        <v>2018</v>
      </c>
      <c r="E25" s="167">
        <f>SUM(F25:K25)</f>
        <v>41</v>
      </c>
      <c r="F25" s="167">
        <v>16</v>
      </c>
      <c r="G25" s="167" t="s">
        <v>51</v>
      </c>
      <c r="H25" s="167">
        <v>2</v>
      </c>
      <c r="I25" s="167">
        <v>5</v>
      </c>
      <c r="J25" s="167" t="s">
        <v>51</v>
      </c>
      <c r="K25" s="167">
        <v>18</v>
      </c>
    </row>
    <row r="26" spans="1:11" s="105" customFormat="1" ht="15" customHeight="1" x14ac:dyDescent="0.2">
      <c r="B26" s="281"/>
      <c r="C26" s="58"/>
      <c r="D26" s="162"/>
      <c r="E26" s="167"/>
      <c r="F26" s="167"/>
      <c r="G26" s="167"/>
      <c r="H26" s="167"/>
      <c r="I26" s="167"/>
      <c r="J26" s="167"/>
      <c r="K26" s="167"/>
    </row>
    <row r="27" spans="1:11" s="105" customFormat="1" ht="15" customHeight="1" x14ac:dyDescent="0.2">
      <c r="A27" s="53"/>
      <c r="B27" s="281" t="s">
        <v>138</v>
      </c>
      <c r="C27" s="58"/>
      <c r="D27" s="162">
        <v>2016</v>
      </c>
      <c r="E27" s="167">
        <f>SUM(F27:K27)</f>
        <v>54</v>
      </c>
      <c r="F27" s="167">
        <v>20</v>
      </c>
      <c r="G27" s="165" t="s">
        <v>51</v>
      </c>
      <c r="H27" s="167" t="s">
        <v>51</v>
      </c>
      <c r="I27" s="167">
        <v>16</v>
      </c>
      <c r="J27" s="165" t="s">
        <v>51</v>
      </c>
      <c r="K27" s="167">
        <v>18</v>
      </c>
    </row>
    <row r="28" spans="1:11" s="105" customFormat="1" ht="15" customHeight="1" x14ac:dyDescent="0.2">
      <c r="A28" s="53"/>
      <c r="B28" s="281"/>
      <c r="C28" s="58"/>
      <c r="D28" s="162">
        <v>2017</v>
      </c>
      <c r="E28" s="167">
        <f>SUM(F28:K28)</f>
        <v>58</v>
      </c>
      <c r="F28" s="167">
        <v>30</v>
      </c>
      <c r="G28" s="165" t="s">
        <v>51</v>
      </c>
      <c r="H28" s="165">
        <v>1</v>
      </c>
      <c r="I28" s="167">
        <v>10</v>
      </c>
      <c r="J28" s="165" t="s">
        <v>51</v>
      </c>
      <c r="K28" s="167">
        <v>17</v>
      </c>
    </row>
    <row r="29" spans="1:11" s="105" customFormat="1" ht="15" customHeight="1" x14ac:dyDescent="0.2">
      <c r="B29" s="281"/>
      <c r="C29" s="58"/>
      <c r="D29" s="162">
        <v>2018</v>
      </c>
      <c r="E29" s="167">
        <f>SUM(F29:K29)</f>
        <v>46</v>
      </c>
      <c r="F29" s="167">
        <v>22</v>
      </c>
      <c r="G29" s="165" t="s">
        <v>51</v>
      </c>
      <c r="H29" s="167" t="s">
        <v>51</v>
      </c>
      <c r="I29" s="167">
        <v>2</v>
      </c>
      <c r="J29" s="167" t="s">
        <v>51</v>
      </c>
      <c r="K29" s="167">
        <v>22</v>
      </c>
    </row>
    <row r="30" spans="1:11" s="105" customFormat="1" ht="15" customHeight="1" x14ac:dyDescent="0.2">
      <c r="B30" s="281"/>
      <c r="C30" s="58"/>
      <c r="D30" s="162"/>
      <c r="E30" s="167"/>
      <c r="F30" s="167"/>
      <c r="G30" s="167"/>
      <c r="H30" s="167"/>
      <c r="I30" s="167"/>
      <c r="J30" s="167"/>
      <c r="K30" s="167"/>
    </row>
    <row r="31" spans="1:11" s="105" customFormat="1" ht="15" customHeight="1" x14ac:dyDescent="0.2">
      <c r="A31" s="53"/>
      <c r="B31" s="281" t="s">
        <v>139</v>
      </c>
      <c r="C31" s="58"/>
      <c r="D31" s="162">
        <v>2016</v>
      </c>
      <c r="E31" s="167">
        <f>SUM(F31:K31)</f>
        <v>9</v>
      </c>
      <c r="F31" s="167">
        <v>2</v>
      </c>
      <c r="G31" s="167" t="s">
        <v>51</v>
      </c>
      <c r="H31" s="165" t="s">
        <v>51</v>
      </c>
      <c r="I31" s="167">
        <v>2</v>
      </c>
      <c r="J31" s="165" t="s">
        <v>51</v>
      </c>
      <c r="K31" s="167">
        <v>5</v>
      </c>
    </row>
    <row r="32" spans="1:11" s="105" customFormat="1" ht="15" customHeight="1" x14ac:dyDescent="0.2">
      <c r="A32" s="53"/>
      <c r="B32" s="281"/>
      <c r="C32" s="58"/>
      <c r="D32" s="162">
        <v>2017</v>
      </c>
      <c r="E32" s="167">
        <f>SUM(F32:K32)</f>
        <v>30</v>
      </c>
      <c r="F32" s="167">
        <v>11</v>
      </c>
      <c r="G32" s="165" t="s">
        <v>51</v>
      </c>
      <c r="H32" s="165" t="s">
        <v>51</v>
      </c>
      <c r="I32" s="167">
        <v>7</v>
      </c>
      <c r="J32" s="165" t="s">
        <v>51</v>
      </c>
      <c r="K32" s="167">
        <v>12</v>
      </c>
    </row>
    <row r="33" spans="1:11" s="105" customFormat="1" ht="15" customHeight="1" x14ac:dyDescent="0.2">
      <c r="B33" s="281"/>
      <c r="C33" s="58"/>
      <c r="D33" s="162">
        <v>2018</v>
      </c>
      <c r="E33" s="167">
        <f>SUM(F33:K33)</f>
        <v>29</v>
      </c>
      <c r="F33" s="167">
        <v>11</v>
      </c>
      <c r="G33" s="165" t="s">
        <v>51</v>
      </c>
      <c r="H33" s="165" t="s">
        <v>51</v>
      </c>
      <c r="I33" s="167">
        <v>4</v>
      </c>
      <c r="J33" s="167" t="s">
        <v>51</v>
      </c>
      <c r="K33" s="167">
        <v>14</v>
      </c>
    </row>
    <row r="34" spans="1:11" s="105" customFormat="1" ht="15" customHeight="1" x14ac:dyDescent="0.2">
      <c r="B34" s="281"/>
      <c r="C34" s="58"/>
      <c r="D34" s="162"/>
      <c r="E34" s="167"/>
      <c r="F34" s="167"/>
      <c r="G34" s="167"/>
      <c r="H34" s="167"/>
      <c r="I34" s="167"/>
      <c r="J34" s="167"/>
      <c r="K34" s="167"/>
    </row>
    <row r="35" spans="1:11" s="105" customFormat="1" ht="15" customHeight="1" x14ac:dyDescent="0.2">
      <c r="A35" s="53"/>
      <c r="B35" s="281" t="s">
        <v>140</v>
      </c>
      <c r="C35" s="58"/>
      <c r="D35" s="162">
        <v>2016</v>
      </c>
      <c r="E35" s="167">
        <f>SUM(F35:K35)</f>
        <v>78</v>
      </c>
      <c r="F35" s="167">
        <v>24</v>
      </c>
      <c r="G35" s="167">
        <v>2</v>
      </c>
      <c r="H35" s="165">
        <v>1</v>
      </c>
      <c r="I35" s="167">
        <v>25</v>
      </c>
      <c r="J35" s="167" t="s">
        <v>51</v>
      </c>
      <c r="K35" s="167">
        <v>26</v>
      </c>
    </row>
    <row r="36" spans="1:11" s="105" customFormat="1" ht="15" customHeight="1" x14ac:dyDescent="0.2">
      <c r="A36" s="53"/>
      <c r="B36" s="281"/>
      <c r="C36" s="58"/>
      <c r="D36" s="162">
        <v>2017</v>
      </c>
      <c r="E36" s="167">
        <f>SUM(F36:K36)</f>
        <v>57</v>
      </c>
      <c r="F36" s="167">
        <v>16</v>
      </c>
      <c r="G36" s="167" t="s">
        <v>51</v>
      </c>
      <c r="H36" s="167">
        <v>2</v>
      </c>
      <c r="I36" s="167">
        <v>16</v>
      </c>
      <c r="J36" s="165" t="s">
        <v>51</v>
      </c>
      <c r="K36" s="167">
        <v>23</v>
      </c>
    </row>
    <row r="37" spans="1:11" s="105" customFormat="1" ht="15" customHeight="1" x14ac:dyDescent="0.2">
      <c r="B37" s="281"/>
      <c r="C37" s="58"/>
      <c r="D37" s="162">
        <v>2018</v>
      </c>
      <c r="E37" s="167">
        <f>SUM(F37:K37)</f>
        <v>39</v>
      </c>
      <c r="F37" s="167">
        <v>15</v>
      </c>
      <c r="G37" s="165" t="s">
        <v>51</v>
      </c>
      <c r="H37" s="167" t="s">
        <v>51</v>
      </c>
      <c r="I37" s="167">
        <v>7</v>
      </c>
      <c r="J37" s="167" t="s">
        <v>51</v>
      </c>
      <c r="K37" s="167">
        <v>17</v>
      </c>
    </row>
    <row r="38" spans="1:11" s="105" customFormat="1" ht="15" customHeight="1" x14ac:dyDescent="0.2">
      <c r="B38" s="281"/>
      <c r="C38" s="58"/>
      <c r="D38" s="162"/>
      <c r="E38" s="167"/>
      <c r="F38" s="167"/>
      <c r="G38" s="167"/>
      <c r="H38" s="167"/>
      <c r="I38" s="167"/>
      <c r="J38" s="167"/>
      <c r="K38" s="167"/>
    </row>
    <row r="39" spans="1:11" s="105" customFormat="1" ht="15" customHeight="1" x14ac:dyDescent="0.2">
      <c r="A39" s="53"/>
      <c r="B39" s="281" t="s">
        <v>141</v>
      </c>
      <c r="C39" s="58"/>
      <c r="D39" s="162">
        <v>2016</v>
      </c>
      <c r="E39" s="167">
        <f>SUM(F39:K39)</f>
        <v>50</v>
      </c>
      <c r="F39" s="167">
        <v>7</v>
      </c>
      <c r="G39" s="167" t="s">
        <v>51</v>
      </c>
      <c r="H39" s="167">
        <v>1</v>
      </c>
      <c r="I39" s="167">
        <v>9</v>
      </c>
      <c r="J39" s="165" t="s">
        <v>51</v>
      </c>
      <c r="K39" s="167">
        <v>33</v>
      </c>
    </row>
    <row r="40" spans="1:11" s="105" customFormat="1" ht="15" customHeight="1" x14ac:dyDescent="0.2">
      <c r="A40" s="118"/>
      <c r="B40" s="281"/>
      <c r="C40" s="58"/>
      <c r="D40" s="162">
        <v>2017</v>
      </c>
      <c r="E40" s="167">
        <f>SUM(F40:K40)</f>
        <v>39</v>
      </c>
      <c r="F40" s="167">
        <v>6</v>
      </c>
      <c r="G40" s="165" t="s">
        <v>51</v>
      </c>
      <c r="H40" s="167">
        <v>3</v>
      </c>
      <c r="I40" s="167">
        <v>7</v>
      </c>
      <c r="J40" s="165" t="s">
        <v>51</v>
      </c>
      <c r="K40" s="167">
        <v>23</v>
      </c>
    </row>
    <row r="41" spans="1:11" s="105" customFormat="1" ht="15" customHeight="1" x14ac:dyDescent="0.2">
      <c r="B41" s="281"/>
      <c r="C41" s="58"/>
      <c r="D41" s="162">
        <v>2018</v>
      </c>
      <c r="E41" s="167">
        <f>SUM(F41:K41)</f>
        <v>33</v>
      </c>
      <c r="F41" s="167">
        <v>9</v>
      </c>
      <c r="G41" s="165" t="s">
        <v>51</v>
      </c>
      <c r="H41" s="167">
        <v>3</v>
      </c>
      <c r="I41" s="167">
        <v>9</v>
      </c>
      <c r="J41" s="165" t="s">
        <v>51</v>
      </c>
      <c r="K41" s="167">
        <v>12</v>
      </c>
    </row>
    <row r="42" spans="1:11" s="105" customFormat="1" ht="15" customHeight="1" x14ac:dyDescent="0.2">
      <c r="B42" s="281"/>
      <c r="C42" s="58"/>
      <c r="D42" s="162"/>
      <c r="E42" s="167"/>
      <c r="F42" s="167"/>
      <c r="G42" s="167"/>
      <c r="H42" s="167"/>
      <c r="I42" s="167"/>
      <c r="J42" s="167"/>
      <c r="K42" s="167"/>
    </row>
    <row r="43" spans="1:11" s="105" customFormat="1" ht="15" customHeight="1" x14ac:dyDescent="0.2">
      <c r="A43" s="53"/>
      <c r="B43" s="281" t="s">
        <v>142</v>
      </c>
      <c r="C43" s="58"/>
      <c r="D43" s="162">
        <v>2016</v>
      </c>
      <c r="E43" s="167">
        <f>SUM(F43:K43)</f>
        <v>19</v>
      </c>
      <c r="F43" s="167">
        <v>13</v>
      </c>
      <c r="G43" s="165">
        <v>1</v>
      </c>
      <c r="H43" s="165" t="s">
        <v>51</v>
      </c>
      <c r="I43" s="167">
        <v>2</v>
      </c>
      <c r="J43" s="165" t="s">
        <v>51</v>
      </c>
      <c r="K43" s="167">
        <v>3</v>
      </c>
    </row>
    <row r="44" spans="1:11" s="105" customFormat="1" ht="15" customHeight="1" x14ac:dyDescent="0.2">
      <c r="A44" s="53"/>
      <c r="B44" s="281"/>
      <c r="C44" s="58"/>
      <c r="D44" s="162">
        <v>2017</v>
      </c>
      <c r="E44" s="167">
        <f>SUM(F44:K44)</f>
        <v>22</v>
      </c>
      <c r="F44" s="167">
        <v>5</v>
      </c>
      <c r="G44" s="167" t="s">
        <v>51</v>
      </c>
      <c r="H44" s="165">
        <v>1</v>
      </c>
      <c r="I44" s="167">
        <v>4</v>
      </c>
      <c r="J44" s="165" t="s">
        <v>51</v>
      </c>
      <c r="K44" s="167">
        <v>12</v>
      </c>
    </row>
    <row r="45" spans="1:11" s="105" customFormat="1" ht="15" customHeight="1" x14ac:dyDescent="0.2">
      <c r="B45" s="281"/>
      <c r="C45" s="58"/>
      <c r="D45" s="162">
        <v>2018</v>
      </c>
      <c r="E45" s="167">
        <f>SUM(F45:K45)</f>
        <v>24</v>
      </c>
      <c r="F45" s="167">
        <v>7</v>
      </c>
      <c r="G45" s="165" t="s">
        <v>51</v>
      </c>
      <c r="H45" s="165" t="s">
        <v>51</v>
      </c>
      <c r="I45" s="167">
        <v>9</v>
      </c>
      <c r="J45" s="165" t="s">
        <v>51</v>
      </c>
      <c r="K45" s="167">
        <v>8</v>
      </c>
    </row>
    <row r="46" spans="1:11" s="105" customFormat="1" ht="15" customHeight="1" x14ac:dyDescent="0.2">
      <c r="B46" s="281"/>
      <c r="C46" s="58"/>
      <c r="D46" s="162"/>
      <c r="E46" s="167"/>
      <c r="F46" s="167"/>
      <c r="G46" s="167"/>
      <c r="H46" s="167"/>
      <c r="I46" s="167"/>
      <c r="J46" s="167"/>
      <c r="K46" s="167"/>
    </row>
    <row r="47" spans="1:11" s="105" customFormat="1" ht="15" customHeight="1" x14ac:dyDescent="0.2">
      <c r="A47" s="53"/>
      <c r="B47" s="281" t="s">
        <v>143</v>
      </c>
      <c r="C47" s="58"/>
      <c r="D47" s="162">
        <v>2016</v>
      </c>
      <c r="E47" s="167">
        <f>SUM(F47:K47)</f>
        <v>28</v>
      </c>
      <c r="F47" s="167">
        <v>6</v>
      </c>
      <c r="G47" s="165">
        <v>1</v>
      </c>
      <c r="H47" s="167">
        <v>7</v>
      </c>
      <c r="I47" s="167">
        <v>7</v>
      </c>
      <c r="J47" s="165" t="s">
        <v>51</v>
      </c>
      <c r="K47" s="167">
        <v>7</v>
      </c>
    </row>
    <row r="48" spans="1:11" s="105" customFormat="1" ht="15" customHeight="1" x14ac:dyDescent="0.2">
      <c r="A48" s="53"/>
      <c r="B48" s="281"/>
      <c r="C48" s="58"/>
      <c r="D48" s="162">
        <v>2017</v>
      </c>
      <c r="E48" s="167">
        <f>SUM(F48:K48)</f>
        <v>30</v>
      </c>
      <c r="F48" s="167">
        <v>6</v>
      </c>
      <c r="G48" s="167" t="s">
        <v>51</v>
      </c>
      <c r="H48" s="167">
        <v>3</v>
      </c>
      <c r="I48" s="167">
        <v>13</v>
      </c>
      <c r="J48" s="165" t="s">
        <v>51</v>
      </c>
      <c r="K48" s="167">
        <v>8</v>
      </c>
    </row>
    <row r="49" spans="1:12" s="119" customFormat="1" ht="15" customHeight="1" x14ac:dyDescent="0.2">
      <c r="A49" s="105"/>
      <c r="B49" s="281"/>
      <c r="C49" s="58"/>
      <c r="D49" s="162">
        <v>2018</v>
      </c>
      <c r="E49" s="167">
        <f>SUM(F49:K49)</f>
        <v>37</v>
      </c>
      <c r="F49" s="167">
        <v>13</v>
      </c>
      <c r="G49" s="165">
        <v>2</v>
      </c>
      <c r="H49" s="167">
        <v>1</v>
      </c>
      <c r="I49" s="167">
        <v>8</v>
      </c>
      <c r="J49" s="165" t="s">
        <v>51</v>
      </c>
      <c r="K49" s="167">
        <v>13</v>
      </c>
    </row>
    <row r="50" spans="1:12" s="119" customFormat="1" ht="15" customHeight="1" x14ac:dyDescent="0.2">
      <c r="A50" s="105"/>
      <c r="B50" s="281"/>
      <c r="C50" s="58"/>
      <c r="D50" s="162"/>
      <c r="E50" s="167"/>
      <c r="F50" s="167"/>
      <c r="G50" s="167"/>
      <c r="H50" s="167"/>
      <c r="I50" s="167"/>
      <c r="J50" s="167"/>
      <c r="K50" s="167"/>
    </row>
    <row r="51" spans="1:12" s="86" customFormat="1" ht="15" customHeight="1" x14ac:dyDescent="0.2">
      <c r="A51" s="53"/>
      <c r="B51" s="281" t="s">
        <v>144</v>
      </c>
      <c r="C51" s="58"/>
      <c r="D51" s="162">
        <v>2016</v>
      </c>
      <c r="E51" s="167">
        <f>SUM(F51:K51)</f>
        <v>972</v>
      </c>
      <c r="F51" s="167">
        <v>372</v>
      </c>
      <c r="G51" s="167">
        <v>28</v>
      </c>
      <c r="H51" s="167">
        <v>135</v>
      </c>
      <c r="I51" s="167">
        <v>244</v>
      </c>
      <c r="J51" s="167">
        <v>4</v>
      </c>
      <c r="K51" s="167">
        <v>189</v>
      </c>
    </row>
    <row r="52" spans="1:12" s="53" customFormat="1" ht="15" customHeight="1" x14ac:dyDescent="0.2">
      <c r="B52" s="281"/>
      <c r="C52" s="58"/>
      <c r="D52" s="162">
        <v>2017</v>
      </c>
      <c r="E52" s="167">
        <f>SUM(F52:K52)</f>
        <v>815</v>
      </c>
      <c r="F52" s="167">
        <v>194</v>
      </c>
      <c r="G52" s="167">
        <v>18</v>
      </c>
      <c r="H52" s="167">
        <v>77</v>
      </c>
      <c r="I52" s="167">
        <v>289</v>
      </c>
      <c r="J52" s="167" t="s">
        <v>51</v>
      </c>
      <c r="K52" s="167">
        <v>237</v>
      </c>
    </row>
    <row r="53" spans="1:12" s="53" customFormat="1" ht="15" customHeight="1" x14ac:dyDescent="0.2">
      <c r="A53" s="105"/>
      <c r="B53" s="281"/>
      <c r="C53" s="58"/>
      <c r="D53" s="162">
        <v>2018</v>
      </c>
      <c r="E53" s="167">
        <f>SUM(F53:K53)</f>
        <v>821</v>
      </c>
      <c r="F53" s="167">
        <v>267</v>
      </c>
      <c r="G53" s="167">
        <v>6</v>
      </c>
      <c r="H53" s="167">
        <v>75</v>
      </c>
      <c r="I53" s="167">
        <v>186</v>
      </c>
      <c r="J53" s="165" t="s">
        <v>51</v>
      </c>
      <c r="K53" s="167">
        <v>287</v>
      </c>
    </row>
    <row r="54" spans="1:12" ht="8.1" customHeight="1" thickBot="1" x14ac:dyDescent="0.3">
      <c r="A54" s="103"/>
      <c r="B54" s="297"/>
      <c r="C54" s="16"/>
      <c r="D54" s="134"/>
      <c r="E54" s="12"/>
      <c r="F54" s="12"/>
      <c r="G54" s="12"/>
      <c r="H54" s="12"/>
      <c r="I54" s="12"/>
      <c r="J54" s="12"/>
      <c r="K54" s="12"/>
      <c r="L54" s="34"/>
    </row>
    <row r="55" spans="1:12" x14ac:dyDescent="0.25">
      <c r="B55" s="205"/>
      <c r="C55" s="205"/>
      <c r="D55" s="205"/>
      <c r="E55" s="269"/>
      <c r="F55" s="399"/>
      <c r="G55" s="410"/>
      <c r="H55" s="399"/>
      <c r="I55" s="399"/>
      <c r="J55" s="399"/>
      <c r="K55" s="175" t="s">
        <v>101</v>
      </c>
    </row>
    <row r="56" spans="1:12" x14ac:dyDescent="0.25">
      <c r="B56" s="266"/>
      <c r="C56" s="266"/>
      <c r="D56" s="266"/>
      <c r="E56" s="269"/>
      <c r="F56" s="399"/>
      <c r="G56" s="399"/>
      <c r="H56" s="395"/>
      <c r="I56" s="400"/>
      <c r="J56" s="400"/>
      <c r="K56" s="176" t="s">
        <v>1</v>
      </c>
    </row>
    <row r="57" spans="1:12" x14ac:dyDescent="0.25">
      <c r="F57" s="401"/>
      <c r="G57" s="401"/>
      <c r="H57" s="402"/>
      <c r="I57" s="401"/>
      <c r="J57" s="15"/>
      <c r="K57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7"/>
  <sheetViews>
    <sheetView showGridLines="0" tabSelected="1" topLeftCell="A22" zoomScaleNormal="100" zoomScaleSheetLayoutView="100" workbookViewId="0">
      <selection activeCell="J23" sqref="J23"/>
    </sheetView>
  </sheetViews>
  <sheetFormatPr defaultRowHeight="15" x14ac:dyDescent="0.25"/>
  <cols>
    <col min="1" max="1" width="0.85546875" style="2" customWidth="1"/>
    <col min="2" max="2" width="10" style="3" customWidth="1"/>
    <col min="3" max="3" width="12" style="3" customWidth="1"/>
    <col min="4" max="4" width="9.28515625" style="3" customWidth="1"/>
    <col min="5" max="5" width="9.85546875" style="4" customWidth="1"/>
    <col min="6" max="6" width="11.7109375" style="5" customWidth="1"/>
    <col min="7" max="7" width="10.5703125" style="5" customWidth="1"/>
    <col min="8" max="8" width="10.42578125" style="209" customWidth="1"/>
    <col min="9" max="9" width="12.28515625" style="5" customWidth="1"/>
    <col min="10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96"/>
      <c r="E12" s="286"/>
      <c r="F12" s="287"/>
      <c r="G12" s="286"/>
      <c r="H12" s="286"/>
      <c r="I12" s="286"/>
      <c r="J12" s="287"/>
      <c r="K12" s="286"/>
    </row>
    <row r="13" spans="1:12" s="6" customFormat="1" ht="8.1" customHeight="1" x14ac:dyDescent="0.25">
      <c r="A13" s="24"/>
      <c r="B13" s="284"/>
      <c r="C13" s="284"/>
      <c r="D13" s="285"/>
      <c r="E13" s="286"/>
      <c r="F13" s="286"/>
      <c r="G13" s="286"/>
      <c r="H13" s="286"/>
      <c r="I13" s="286"/>
      <c r="J13" s="286"/>
      <c r="K13" s="286"/>
    </row>
    <row r="14" spans="1:12" s="6" customFormat="1" ht="15" customHeight="1" x14ac:dyDescent="0.25">
      <c r="A14" s="2"/>
      <c r="B14" s="299" t="s">
        <v>180</v>
      </c>
      <c r="C14" s="64"/>
      <c r="D14" s="64"/>
      <c r="E14" s="167"/>
      <c r="F14" s="166"/>
      <c r="G14" s="166"/>
      <c r="H14" s="166"/>
      <c r="I14" s="166"/>
      <c r="J14" s="166"/>
      <c r="K14" s="166"/>
    </row>
    <row r="15" spans="1:12" ht="8.1" customHeight="1" x14ac:dyDescent="0.25">
      <c r="A15" s="6"/>
      <c r="B15" s="281"/>
      <c r="C15" s="58"/>
      <c r="D15" s="65"/>
      <c r="E15" s="167"/>
      <c r="F15" s="167"/>
      <c r="G15" s="167"/>
      <c r="H15" s="167"/>
      <c r="I15" s="167"/>
      <c r="J15" s="167"/>
      <c r="K15" s="167"/>
    </row>
    <row r="16" spans="1:12" ht="15" customHeight="1" x14ac:dyDescent="0.2">
      <c r="B16" s="281" t="s">
        <v>145</v>
      </c>
      <c r="C16" s="58"/>
      <c r="D16" s="162">
        <v>2016</v>
      </c>
      <c r="E16" s="167">
        <f>SUM(F16:K16)</f>
        <v>64</v>
      </c>
      <c r="F16" s="167">
        <v>17</v>
      </c>
      <c r="G16" s="167">
        <v>13</v>
      </c>
      <c r="H16" s="167">
        <v>6</v>
      </c>
      <c r="I16" s="167">
        <v>15</v>
      </c>
      <c r="J16" s="165" t="s">
        <v>51</v>
      </c>
      <c r="K16" s="167">
        <v>13</v>
      </c>
    </row>
    <row r="17" spans="1:11" ht="15" customHeight="1" x14ac:dyDescent="0.2">
      <c r="B17" s="281"/>
      <c r="C17" s="58"/>
      <c r="D17" s="162">
        <v>2017</v>
      </c>
      <c r="E17" s="167">
        <f>SUM(F17:K17)</f>
        <v>74</v>
      </c>
      <c r="F17" s="167">
        <v>16</v>
      </c>
      <c r="G17" s="167">
        <v>4</v>
      </c>
      <c r="H17" s="167">
        <v>9</v>
      </c>
      <c r="I17" s="167">
        <v>30</v>
      </c>
      <c r="J17" s="165" t="s">
        <v>51</v>
      </c>
      <c r="K17" s="167">
        <v>15</v>
      </c>
    </row>
    <row r="18" spans="1:11" ht="15" customHeight="1" x14ac:dyDescent="0.25">
      <c r="A18" s="6"/>
      <c r="B18" s="281"/>
      <c r="C18" s="58"/>
      <c r="D18" s="162">
        <v>2018</v>
      </c>
      <c r="E18" s="167">
        <f>SUM(F18:K18)</f>
        <v>83</v>
      </c>
      <c r="F18" s="167">
        <v>16</v>
      </c>
      <c r="G18" s="165" t="s">
        <v>51</v>
      </c>
      <c r="H18" s="167">
        <v>2</v>
      </c>
      <c r="I18" s="167">
        <v>29</v>
      </c>
      <c r="J18" s="165" t="s">
        <v>51</v>
      </c>
      <c r="K18" s="167">
        <v>36</v>
      </c>
    </row>
    <row r="19" spans="1:11" ht="15" customHeight="1" x14ac:dyDescent="0.25">
      <c r="A19" s="6"/>
      <c r="B19" s="281"/>
      <c r="C19" s="58"/>
      <c r="D19" s="162"/>
      <c r="E19" s="167"/>
      <c r="F19" s="167"/>
      <c r="G19" s="167"/>
      <c r="H19" s="167"/>
      <c r="I19" s="167"/>
      <c r="J19" s="167"/>
      <c r="K19" s="167"/>
    </row>
    <row r="20" spans="1:11" ht="15" customHeight="1" x14ac:dyDescent="0.2">
      <c r="B20" s="281" t="s">
        <v>146</v>
      </c>
      <c r="C20" s="58"/>
      <c r="D20" s="162">
        <v>2016</v>
      </c>
      <c r="E20" s="167">
        <f>SUM(F20:K20)</f>
        <v>801</v>
      </c>
      <c r="F20" s="167">
        <v>136</v>
      </c>
      <c r="G20" s="167">
        <v>27</v>
      </c>
      <c r="H20" s="167">
        <v>143</v>
      </c>
      <c r="I20" s="167">
        <v>380</v>
      </c>
      <c r="J20" s="167">
        <v>15</v>
      </c>
      <c r="K20" s="167">
        <v>100</v>
      </c>
    </row>
    <row r="21" spans="1:11" ht="15" customHeight="1" x14ac:dyDescent="0.2">
      <c r="B21" s="281"/>
      <c r="C21" s="58"/>
      <c r="D21" s="162">
        <v>2017</v>
      </c>
      <c r="E21" s="167">
        <f>SUM(F21:K21)</f>
        <v>830</v>
      </c>
      <c r="F21" s="167">
        <v>89</v>
      </c>
      <c r="G21" s="167">
        <v>12</v>
      </c>
      <c r="H21" s="167">
        <v>114</v>
      </c>
      <c r="I21" s="167">
        <v>541</v>
      </c>
      <c r="J21" s="167" t="s">
        <v>51</v>
      </c>
      <c r="K21" s="167">
        <v>74</v>
      </c>
    </row>
    <row r="22" spans="1:11" ht="15" customHeight="1" x14ac:dyDescent="0.25">
      <c r="A22" s="6"/>
      <c r="B22" s="281"/>
      <c r="C22" s="58"/>
      <c r="D22" s="162">
        <v>2018</v>
      </c>
      <c r="E22" s="167">
        <f>SUM(F22:K22)</f>
        <v>720</v>
      </c>
      <c r="F22" s="167">
        <v>244</v>
      </c>
      <c r="G22" s="167">
        <v>12</v>
      </c>
      <c r="H22" s="167">
        <v>95</v>
      </c>
      <c r="I22" s="167">
        <v>240</v>
      </c>
      <c r="J22" s="165">
        <v>1</v>
      </c>
      <c r="K22" s="167">
        <v>128</v>
      </c>
    </row>
    <row r="23" spans="1:11" ht="15" customHeight="1" x14ac:dyDescent="0.25">
      <c r="A23" s="6"/>
      <c r="B23" s="281"/>
      <c r="C23" s="58"/>
      <c r="D23" s="162"/>
      <c r="E23" s="167"/>
      <c r="F23" s="167"/>
      <c r="G23" s="167"/>
      <c r="H23" s="167"/>
      <c r="I23" s="167"/>
      <c r="J23" s="167"/>
      <c r="K23" s="167"/>
    </row>
    <row r="24" spans="1:11" ht="15" customHeight="1" x14ac:dyDescent="0.2">
      <c r="B24" s="281" t="s">
        <v>147</v>
      </c>
      <c r="C24" s="58"/>
      <c r="D24" s="162">
        <v>2016</v>
      </c>
      <c r="E24" s="167">
        <f>SUM(F24:K24)</f>
        <v>31</v>
      </c>
      <c r="F24" s="167">
        <v>10</v>
      </c>
      <c r="G24" s="165" t="s">
        <v>51</v>
      </c>
      <c r="H24" s="165">
        <v>1</v>
      </c>
      <c r="I24" s="167">
        <v>12</v>
      </c>
      <c r="J24" s="165" t="s">
        <v>51</v>
      </c>
      <c r="K24" s="167">
        <v>8</v>
      </c>
    </row>
    <row r="25" spans="1:11" ht="15" customHeight="1" x14ac:dyDescent="0.2">
      <c r="B25" s="281"/>
      <c r="C25" s="58"/>
      <c r="D25" s="162">
        <v>2017</v>
      </c>
      <c r="E25" s="167">
        <f>SUM(F25:K25)</f>
        <v>26</v>
      </c>
      <c r="F25" s="167">
        <v>8</v>
      </c>
      <c r="G25" s="165">
        <v>1</v>
      </c>
      <c r="H25" s="167">
        <v>1</v>
      </c>
      <c r="I25" s="167">
        <v>14</v>
      </c>
      <c r="J25" s="165" t="s">
        <v>51</v>
      </c>
      <c r="K25" s="167">
        <v>2</v>
      </c>
    </row>
    <row r="26" spans="1:11" s="3" customFormat="1" ht="15" customHeight="1" x14ac:dyDescent="0.25">
      <c r="A26" s="6"/>
      <c r="B26" s="281"/>
      <c r="C26" s="58"/>
      <c r="D26" s="162">
        <v>2018</v>
      </c>
      <c r="E26" s="167">
        <f>SUM(F26:K26)</f>
        <v>14</v>
      </c>
      <c r="F26" s="167">
        <v>6</v>
      </c>
      <c r="G26" s="167">
        <v>1</v>
      </c>
      <c r="H26" s="165" t="s">
        <v>51</v>
      </c>
      <c r="I26" s="167">
        <v>2</v>
      </c>
      <c r="J26" s="165" t="s">
        <v>51</v>
      </c>
      <c r="K26" s="167">
        <v>5</v>
      </c>
    </row>
    <row r="27" spans="1:11" s="3" customFormat="1" ht="15" customHeight="1" x14ac:dyDescent="0.25">
      <c r="A27" s="6"/>
      <c r="B27" s="281"/>
      <c r="C27" s="58"/>
      <c r="D27" s="162"/>
      <c r="E27" s="167"/>
      <c r="F27" s="167"/>
      <c r="G27" s="167"/>
      <c r="H27" s="167"/>
      <c r="I27" s="167"/>
      <c r="J27" s="167"/>
      <c r="K27" s="167"/>
    </row>
    <row r="28" spans="1:11" ht="15" customHeight="1" x14ac:dyDescent="0.2">
      <c r="B28" s="281" t="s">
        <v>148</v>
      </c>
      <c r="C28" s="58"/>
      <c r="D28" s="162">
        <v>2016</v>
      </c>
      <c r="E28" s="167">
        <f>SUM(F28:K28)</f>
        <v>180</v>
      </c>
      <c r="F28" s="167">
        <v>58</v>
      </c>
      <c r="G28" s="167">
        <v>3</v>
      </c>
      <c r="H28" s="167">
        <v>18</v>
      </c>
      <c r="I28" s="167">
        <v>32</v>
      </c>
      <c r="J28" s="167">
        <v>8</v>
      </c>
      <c r="K28" s="167">
        <v>61</v>
      </c>
    </row>
    <row r="29" spans="1:11" ht="15" customHeight="1" x14ac:dyDescent="0.2">
      <c r="B29" s="281"/>
      <c r="C29" s="58"/>
      <c r="D29" s="162">
        <v>2017</v>
      </c>
      <c r="E29" s="167">
        <f>SUM(F29:K29)</f>
        <v>149</v>
      </c>
      <c r="F29" s="167">
        <v>60</v>
      </c>
      <c r="G29" s="167">
        <v>1</v>
      </c>
      <c r="H29" s="167">
        <v>15</v>
      </c>
      <c r="I29" s="167">
        <v>27</v>
      </c>
      <c r="J29" s="167" t="s">
        <v>51</v>
      </c>
      <c r="K29" s="167">
        <v>46</v>
      </c>
    </row>
    <row r="30" spans="1:11" ht="15" customHeight="1" x14ac:dyDescent="0.25">
      <c r="A30" s="6"/>
      <c r="B30" s="281"/>
      <c r="C30" s="58"/>
      <c r="D30" s="162">
        <v>2018</v>
      </c>
      <c r="E30" s="167">
        <f>SUM(F30:K30)</f>
        <v>149</v>
      </c>
      <c r="F30" s="167">
        <v>67</v>
      </c>
      <c r="G30" s="165" t="s">
        <v>51</v>
      </c>
      <c r="H30" s="167">
        <v>6</v>
      </c>
      <c r="I30" s="167">
        <v>23</v>
      </c>
      <c r="J30" s="165" t="s">
        <v>51</v>
      </c>
      <c r="K30" s="167">
        <v>53</v>
      </c>
    </row>
    <row r="31" spans="1:11" ht="15" customHeight="1" x14ac:dyDescent="0.25">
      <c r="A31" s="6"/>
      <c r="B31" s="281"/>
      <c r="C31" s="58"/>
      <c r="D31" s="162"/>
      <c r="E31" s="167"/>
      <c r="F31" s="167"/>
      <c r="G31" s="167"/>
      <c r="H31" s="167"/>
      <c r="I31" s="167"/>
      <c r="J31" s="167"/>
      <c r="K31" s="167"/>
    </row>
    <row r="32" spans="1:11" ht="15" customHeight="1" x14ac:dyDescent="0.2">
      <c r="B32" s="281" t="s">
        <v>149</v>
      </c>
      <c r="C32" s="58"/>
      <c r="D32" s="162">
        <v>2016</v>
      </c>
      <c r="E32" s="167">
        <f>SUM(F32:K32)</f>
        <v>111</v>
      </c>
      <c r="F32" s="167">
        <v>18</v>
      </c>
      <c r="G32" s="167">
        <v>4</v>
      </c>
      <c r="H32" s="167">
        <v>6</v>
      </c>
      <c r="I32" s="167">
        <v>63</v>
      </c>
      <c r="J32" s="165" t="s">
        <v>51</v>
      </c>
      <c r="K32" s="167">
        <v>20</v>
      </c>
    </row>
    <row r="33" spans="1:11" ht="15" customHeight="1" x14ac:dyDescent="0.2">
      <c r="B33" s="281"/>
      <c r="C33" s="58"/>
      <c r="D33" s="162">
        <v>2017</v>
      </c>
      <c r="E33" s="167">
        <f>SUM(F33:K33)</f>
        <v>120</v>
      </c>
      <c r="F33" s="167">
        <v>27</v>
      </c>
      <c r="G33" s="165" t="s">
        <v>51</v>
      </c>
      <c r="H33" s="167">
        <v>6</v>
      </c>
      <c r="I33" s="167">
        <v>66</v>
      </c>
      <c r="J33" s="165">
        <v>1</v>
      </c>
      <c r="K33" s="167">
        <v>20</v>
      </c>
    </row>
    <row r="34" spans="1:11" ht="15" customHeight="1" x14ac:dyDescent="0.25">
      <c r="A34" s="6"/>
      <c r="B34" s="281"/>
      <c r="C34" s="58"/>
      <c r="D34" s="162">
        <v>2018</v>
      </c>
      <c r="E34" s="167">
        <f>SUM(F34:K34)</f>
        <v>103</v>
      </c>
      <c r="F34" s="167">
        <v>35</v>
      </c>
      <c r="G34" s="165" t="s">
        <v>51</v>
      </c>
      <c r="H34" s="167">
        <v>3</v>
      </c>
      <c r="I34" s="167">
        <v>40</v>
      </c>
      <c r="J34" s="167">
        <v>1</v>
      </c>
      <c r="K34" s="167">
        <v>24</v>
      </c>
    </row>
    <row r="35" spans="1:11" ht="15" customHeight="1" x14ac:dyDescent="0.25">
      <c r="A35" s="6"/>
      <c r="B35" s="281"/>
      <c r="C35" s="58"/>
      <c r="D35" s="162"/>
      <c r="E35" s="167"/>
      <c r="F35" s="167"/>
      <c r="G35" s="167"/>
      <c r="H35" s="167"/>
      <c r="I35" s="167"/>
      <c r="J35" s="167"/>
      <c r="K35" s="167"/>
    </row>
    <row r="36" spans="1:11" ht="15" customHeight="1" x14ac:dyDescent="0.2">
      <c r="B36" s="281" t="s">
        <v>150</v>
      </c>
      <c r="C36" s="58"/>
      <c r="D36" s="162">
        <v>2016</v>
      </c>
      <c r="E36" s="167">
        <f>SUM(F36:K36)</f>
        <v>706</v>
      </c>
      <c r="F36" s="167">
        <v>180</v>
      </c>
      <c r="G36" s="167">
        <v>31</v>
      </c>
      <c r="H36" s="167">
        <v>47</v>
      </c>
      <c r="I36" s="167">
        <v>250</v>
      </c>
      <c r="J36" s="167">
        <v>11</v>
      </c>
      <c r="K36" s="167">
        <v>187</v>
      </c>
    </row>
    <row r="37" spans="1:11" ht="15" customHeight="1" x14ac:dyDescent="0.2">
      <c r="B37" s="281"/>
      <c r="C37" s="58"/>
      <c r="D37" s="162">
        <v>2017</v>
      </c>
      <c r="E37" s="167">
        <f>SUM(F37:K37)</f>
        <v>634</v>
      </c>
      <c r="F37" s="167">
        <v>186</v>
      </c>
      <c r="G37" s="167">
        <v>6</v>
      </c>
      <c r="H37" s="167">
        <v>48</v>
      </c>
      <c r="I37" s="167">
        <v>191</v>
      </c>
      <c r="J37" s="167" t="s">
        <v>51</v>
      </c>
      <c r="K37" s="167">
        <v>203</v>
      </c>
    </row>
    <row r="38" spans="1:11" ht="15" customHeight="1" x14ac:dyDescent="0.25">
      <c r="A38" s="6"/>
      <c r="B38" s="281"/>
      <c r="C38" s="58"/>
      <c r="D38" s="162">
        <v>2018</v>
      </c>
      <c r="E38" s="167">
        <f>SUM(F38:K38)</f>
        <v>626</v>
      </c>
      <c r="F38" s="167">
        <v>212</v>
      </c>
      <c r="G38" s="167">
        <v>7</v>
      </c>
      <c r="H38" s="167">
        <v>41</v>
      </c>
      <c r="I38" s="167">
        <v>217</v>
      </c>
      <c r="J38" s="165" t="s">
        <v>51</v>
      </c>
      <c r="K38" s="167">
        <v>149</v>
      </c>
    </row>
    <row r="39" spans="1:11" ht="15" customHeight="1" x14ac:dyDescent="0.25">
      <c r="A39" s="6"/>
      <c r="B39" s="281"/>
      <c r="C39" s="58"/>
      <c r="D39" s="162"/>
      <c r="E39" s="167"/>
      <c r="F39" s="167"/>
      <c r="G39" s="167"/>
      <c r="H39" s="167"/>
      <c r="I39" s="167"/>
      <c r="J39" s="167"/>
      <c r="K39" s="167"/>
    </row>
    <row r="40" spans="1:11" ht="15" customHeight="1" x14ac:dyDescent="0.2">
      <c r="B40" s="281" t="s">
        <v>151</v>
      </c>
      <c r="C40" s="58"/>
      <c r="D40" s="162">
        <v>2016</v>
      </c>
      <c r="E40" s="167">
        <f>SUM(F40:K40)</f>
        <v>46</v>
      </c>
      <c r="F40" s="167">
        <v>18</v>
      </c>
      <c r="G40" s="165">
        <v>1</v>
      </c>
      <c r="H40" s="165" t="s">
        <v>51</v>
      </c>
      <c r="I40" s="167">
        <v>18</v>
      </c>
      <c r="J40" s="165" t="s">
        <v>51</v>
      </c>
      <c r="K40" s="167">
        <v>9</v>
      </c>
    </row>
    <row r="41" spans="1:11" ht="15" customHeight="1" x14ac:dyDescent="0.2">
      <c r="B41" s="281"/>
      <c r="C41" s="58"/>
      <c r="D41" s="162">
        <v>2017</v>
      </c>
      <c r="E41" s="167">
        <f>SUM(F41:K41)</f>
        <v>29</v>
      </c>
      <c r="F41" s="167">
        <v>5</v>
      </c>
      <c r="G41" s="167">
        <v>1</v>
      </c>
      <c r="H41" s="165" t="s">
        <v>51</v>
      </c>
      <c r="I41" s="167">
        <v>19</v>
      </c>
      <c r="J41" s="165" t="s">
        <v>51</v>
      </c>
      <c r="K41" s="167">
        <v>4</v>
      </c>
    </row>
    <row r="42" spans="1:11" ht="15" customHeight="1" x14ac:dyDescent="0.25">
      <c r="A42" s="6"/>
      <c r="B42" s="281"/>
      <c r="C42" s="58"/>
      <c r="D42" s="162">
        <v>2018</v>
      </c>
      <c r="E42" s="167">
        <f>SUM(F42:K42)</f>
        <v>30</v>
      </c>
      <c r="F42" s="167">
        <v>9</v>
      </c>
      <c r="G42" s="165" t="s">
        <v>51</v>
      </c>
      <c r="H42" s="165" t="s">
        <v>51</v>
      </c>
      <c r="I42" s="167">
        <v>14</v>
      </c>
      <c r="J42" s="165" t="s">
        <v>51</v>
      </c>
      <c r="K42" s="167">
        <v>7</v>
      </c>
    </row>
    <row r="43" spans="1:11" ht="15" customHeight="1" x14ac:dyDescent="0.25">
      <c r="A43" s="6"/>
      <c r="B43" s="281"/>
      <c r="C43" s="58"/>
      <c r="D43" s="162"/>
      <c r="E43" s="167"/>
      <c r="F43" s="167"/>
      <c r="G43" s="167"/>
      <c r="H43" s="167"/>
      <c r="I43" s="167"/>
      <c r="J43" s="167"/>
      <c r="K43" s="167"/>
    </row>
    <row r="44" spans="1:11" ht="15" customHeight="1" x14ac:dyDescent="0.2">
      <c r="B44" s="281" t="s">
        <v>152</v>
      </c>
      <c r="C44" s="58"/>
      <c r="D44" s="162">
        <v>2016</v>
      </c>
      <c r="E44" s="167">
        <f>SUM(F44:K44)</f>
        <v>4</v>
      </c>
      <c r="F44" s="167">
        <v>2</v>
      </c>
      <c r="G44" s="165" t="s">
        <v>51</v>
      </c>
      <c r="H44" s="165" t="s">
        <v>51</v>
      </c>
      <c r="I44" s="165" t="s">
        <v>51</v>
      </c>
      <c r="J44" s="165" t="s">
        <v>51</v>
      </c>
      <c r="K44" s="167">
        <v>2</v>
      </c>
    </row>
    <row r="45" spans="1:11" ht="15" customHeight="1" x14ac:dyDescent="0.2">
      <c r="B45" s="281"/>
      <c r="C45" s="58"/>
      <c r="D45" s="162">
        <v>2017</v>
      </c>
      <c r="E45" s="167">
        <f>SUM(F45:K45)</f>
        <v>4</v>
      </c>
      <c r="F45" s="167">
        <v>1</v>
      </c>
      <c r="G45" s="165" t="s">
        <v>51</v>
      </c>
      <c r="H45" s="165" t="s">
        <v>51</v>
      </c>
      <c r="I45" s="165" t="s">
        <v>51</v>
      </c>
      <c r="J45" s="165" t="s">
        <v>51</v>
      </c>
      <c r="K45" s="167">
        <v>3</v>
      </c>
    </row>
    <row r="46" spans="1:11" ht="15" customHeight="1" x14ac:dyDescent="0.25">
      <c r="A46" s="6"/>
      <c r="B46" s="281"/>
      <c r="C46" s="58"/>
      <c r="D46" s="162">
        <v>2018</v>
      </c>
      <c r="E46" s="167">
        <f>SUM(F46:K46)</f>
        <v>10</v>
      </c>
      <c r="F46" s="167">
        <v>6</v>
      </c>
      <c r="G46" s="165">
        <v>1</v>
      </c>
      <c r="H46" s="165" t="s">
        <v>51</v>
      </c>
      <c r="I46" s="165" t="s">
        <v>51</v>
      </c>
      <c r="J46" s="165" t="s">
        <v>51</v>
      </c>
      <c r="K46" s="167">
        <v>3</v>
      </c>
    </row>
    <row r="47" spans="1:11" ht="15" customHeight="1" x14ac:dyDescent="0.25">
      <c r="A47" s="6"/>
      <c r="B47" s="281"/>
      <c r="C47" s="58"/>
      <c r="D47" s="162"/>
      <c r="E47" s="167"/>
      <c r="F47" s="167"/>
      <c r="G47" s="167"/>
      <c r="H47" s="167"/>
      <c r="I47" s="167"/>
      <c r="J47" s="167"/>
      <c r="K47" s="167"/>
    </row>
    <row r="48" spans="1:11" ht="15" customHeight="1" x14ac:dyDescent="0.2">
      <c r="B48" s="281" t="s">
        <v>153</v>
      </c>
      <c r="C48" s="58"/>
      <c r="D48" s="162">
        <v>2016</v>
      </c>
      <c r="E48" s="167">
        <f>SUM(F48:K48)</f>
        <v>109</v>
      </c>
      <c r="F48" s="167">
        <v>31</v>
      </c>
      <c r="G48" s="167">
        <v>5</v>
      </c>
      <c r="H48" s="167">
        <v>6</v>
      </c>
      <c r="I48" s="167">
        <v>35</v>
      </c>
      <c r="J48" s="165" t="s">
        <v>51</v>
      </c>
      <c r="K48" s="167">
        <v>32</v>
      </c>
    </row>
    <row r="49" spans="1:12" ht="15" customHeight="1" x14ac:dyDescent="0.2">
      <c r="B49" s="281"/>
      <c r="C49" s="58"/>
      <c r="D49" s="162">
        <v>2017</v>
      </c>
      <c r="E49" s="167">
        <f>SUM(F49:K49)</f>
        <v>95</v>
      </c>
      <c r="F49" s="167">
        <v>36</v>
      </c>
      <c r="G49" s="167">
        <v>1</v>
      </c>
      <c r="H49" s="167">
        <v>4</v>
      </c>
      <c r="I49" s="167">
        <v>19</v>
      </c>
      <c r="J49" s="165" t="s">
        <v>51</v>
      </c>
      <c r="K49" s="167">
        <v>35</v>
      </c>
    </row>
    <row r="50" spans="1:12" ht="15" customHeight="1" x14ac:dyDescent="0.25">
      <c r="A50" s="6"/>
      <c r="B50" s="281"/>
      <c r="C50" s="58"/>
      <c r="D50" s="162">
        <v>2018</v>
      </c>
      <c r="E50" s="167">
        <f>SUM(F50:K50)</f>
        <v>73</v>
      </c>
      <c r="F50" s="167">
        <v>36</v>
      </c>
      <c r="G50" s="167">
        <v>1</v>
      </c>
      <c r="H50" s="165" t="s">
        <v>51</v>
      </c>
      <c r="I50" s="167">
        <v>12</v>
      </c>
      <c r="J50" s="165" t="s">
        <v>51</v>
      </c>
      <c r="K50" s="167">
        <v>24</v>
      </c>
    </row>
    <row r="51" spans="1:12" ht="15" customHeight="1" x14ac:dyDescent="0.25">
      <c r="A51" s="6"/>
      <c r="B51" s="281"/>
      <c r="C51" s="58"/>
      <c r="D51" s="162"/>
      <c r="E51" s="167"/>
      <c r="F51" s="167"/>
      <c r="G51" s="167"/>
      <c r="H51" s="167"/>
      <c r="I51" s="167"/>
      <c r="J51" s="167"/>
      <c r="K51" s="167"/>
    </row>
    <row r="52" spans="1:12" ht="15" customHeight="1" x14ac:dyDescent="0.2">
      <c r="B52" s="281" t="s">
        <v>154</v>
      </c>
      <c r="C52" s="58"/>
      <c r="D52" s="162">
        <v>2016</v>
      </c>
      <c r="E52" s="167">
        <f>SUM(F52:K52)</f>
        <v>21</v>
      </c>
      <c r="F52" s="167">
        <v>2</v>
      </c>
      <c r="G52" s="165">
        <v>3</v>
      </c>
      <c r="H52" s="165" t="s">
        <v>51</v>
      </c>
      <c r="I52" s="167">
        <v>5</v>
      </c>
      <c r="J52" s="167" t="s">
        <v>51</v>
      </c>
      <c r="K52" s="167">
        <v>11</v>
      </c>
    </row>
    <row r="53" spans="1:12" ht="15" customHeight="1" x14ac:dyDescent="0.2">
      <c r="B53" s="281"/>
      <c r="C53" s="58"/>
      <c r="D53" s="162">
        <v>2017</v>
      </c>
      <c r="E53" s="167">
        <f>SUM(F53:K53)</f>
        <v>12</v>
      </c>
      <c r="F53" s="167">
        <v>1</v>
      </c>
      <c r="G53" s="167" t="s">
        <v>51</v>
      </c>
      <c r="H53" s="165">
        <v>1</v>
      </c>
      <c r="I53" s="167">
        <v>3</v>
      </c>
      <c r="J53" s="165" t="s">
        <v>51</v>
      </c>
      <c r="K53" s="167">
        <v>7</v>
      </c>
    </row>
    <row r="54" spans="1:12" ht="15" customHeight="1" x14ac:dyDescent="0.25">
      <c r="A54" s="24"/>
      <c r="B54" s="281"/>
      <c r="C54" s="58"/>
      <c r="D54" s="162">
        <v>2018</v>
      </c>
      <c r="E54" s="167">
        <f>SUM(F54:K54)</f>
        <v>25</v>
      </c>
      <c r="F54" s="165" t="s">
        <v>51</v>
      </c>
      <c r="G54" s="165">
        <v>2</v>
      </c>
      <c r="H54" s="374">
        <v>1</v>
      </c>
      <c r="I54" s="167">
        <v>7</v>
      </c>
      <c r="J54" s="165" t="s">
        <v>51</v>
      </c>
      <c r="K54" s="167">
        <v>15</v>
      </c>
    </row>
    <row r="55" spans="1:12" ht="15" customHeight="1" thickBot="1" x14ac:dyDescent="0.3">
      <c r="A55" s="103"/>
      <c r="B55" s="282"/>
      <c r="C55" s="60"/>
      <c r="D55" s="141"/>
      <c r="E55" s="61"/>
      <c r="F55" s="61"/>
      <c r="G55" s="411"/>
      <c r="H55" s="411"/>
      <c r="I55" s="61"/>
      <c r="J55" s="61"/>
      <c r="K55" s="61"/>
      <c r="L55" s="34"/>
    </row>
    <row r="56" spans="1:12" x14ac:dyDescent="0.25">
      <c r="B56" s="205"/>
      <c r="C56" s="205"/>
      <c r="D56" s="205"/>
      <c r="E56" s="206"/>
      <c r="F56" s="395"/>
      <c r="G56" s="396"/>
      <c r="H56" s="397"/>
      <c r="I56" s="398"/>
      <c r="J56" s="398"/>
      <c r="K56" s="175" t="s">
        <v>101</v>
      </c>
    </row>
    <row r="57" spans="1:12" x14ac:dyDescent="0.25">
      <c r="B57" s="266"/>
      <c r="C57" s="266"/>
      <c r="D57" s="266"/>
      <c r="E57" s="269"/>
      <c r="F57" s="399"/>
      <c r="G57" s="399"/>
      <c r="H57" s="395"/>
      <c r="I57" s="400"/>
      <c r="J57" s="400"/>
      <c r="K57" s="176" t="s">
        <v>1</v>
      </c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8"/>
  <sheetViews>
    <sheetView showGridLines="0" tabSelected="1" topLeftCell="A25" zoomScaleNormal="100" zoomScaleSheetLayoutView="90" workbookViewId="0">
      <selection activeCell="J23" sqref="J23"/>
    </sheetView>
  </sheetViews>
  <sheetFormatPr defaultRowHeight="15" x14ac:dyDescent="0.25"/>
  <cols>
    <col min="1" max="1" width="0.85546875" style="2" customWidth="1"/>
    <col min="2" max="2" width="10.42578125" style="3" customWidth="1"/>
    <col min="3" max="3" width="8.5703125" style="3" customWidth="1"/>
    <col min="4" max="4" width="10.42578125" style="3" customWidth="1"/>
    <col min="5" max="5" width="10.5703125" style="4" customWidth="1"/>
    <col min="6" max="6" width="11.7109375" style="5" customWidth="1"/>
    <col min="7" max="7" width="10.28515625" style="5" customWidth="1"/>
    <col min="8" max="8" width="11.7109375" style="209" customWidth="1"/>
    <col min="9" max="9" width="12.28515625" style="5" customWidth="1"/>
    <col min="10" max="10" width="10.5703125" style="2" customWidth="1"/>
    <col min="11" max="11" width="11.7109375" style="2" customWidth="1"/>
    <col min="12" max="12" width="1.285156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96"/>
      <c r="E12" s="286"/>
      <c r="F12" s="287"/>
      <c r="G12" s="286"/>
      <c r="H12" s="286"/>
      <c r="I12" s="286"/>
      <c r="J12" s="287"/>
      <c r="K12" s="286"/>
    </row>
    <row r="13" spans="1:12" s="119" customFormat="1" ht="12.95" customHeight="1" x14ac:dyDescent="0.2">
      <c r="A13" s="53"/>
      <c r="B13" s="64" t="s">
        <v>102</v>
      </c>
      <c r="C13" s="127"/>
      <c r="D13" s="65">
        <v>2016</v>
      </c>
      <c r="E13" s="166">
        <f>SUM(F13:K13)</f>
        <v>24612</v>
      </c>
      <c r="F13" s="166">
        <f>SUM(F17,F21,F25,F29,F33,F37,F41,F45,F49,F53,F57,F61,F65,F69,F73)</f>
        <v>5497</v>
      </c>
      <c r="G13" s="166">
        <f t="shared" ref="G13:K13" si="0">SUM(G17,G21,G25,G29,G33,G37,G41,G45,G49,G53,G57,G61,G65,G69,G73)</f>
        <v>1140</v>
      </c>
      <c r="H13" s="166">
        <f t="shared" si="0"/>
        <v>3309</v>
      </c>
      <c r="I13" s="166">
        <f t="shared" si="0"/>
        <v>8890</v>
      </c>
      <c r="J13" s="166">
        <f t="shared" si="0"/>
        <v>983</v>
      </c>
      <c r="K13" s="166">
        <f t="shared" si="0"/>
        <v>4793</v>
      </c>
    </row>
    <row r="14" spans="1:12" s="119" customFormat="1" ht="12.95" customHeight="1" x14ac:dyDescent="0.2">
      <c r="A14" s="53"/>
      <c r="B14" s="127"/>
      <c r="C14" s="127"/>
      <c r="D14" s="65">
        <v>2017</v>
      </c>
      <c r="E14" s="166">
        <f t="shared" ref="E14" si="1">SUM(F14:K14)</f>
        <v>19599</v>
      </c>
      <c r="F14" s="166">
        <f t="shared" ref="F14:K15" si="2">SUM(F18,F22,F26,F30,F34,F38,F42,F46,F50,F54,F58,F62,F66,F70,F74)</f>
        <v>4133</v>
      </c>
      <c r="G14" s="166">
        <f t="shared" si="2"/>
        <v>844</v>
      </c>
      <c r="H14" s="166">
        <f t="shared" si="2"/>
        <v>2586</v>
      </c>
      <c r="I14" s="166">
        <f t="shared" si="2"/>
        <v>7945</v>
      </c>
      <c r="J14" s="166">
        <f t="shared" si="2"/>
        <v>140</v>
      </c>
      <c r="K14" s="166">
        <f t="shared" si="2"/>
        <v>3951</v>
      </c>
    </row>
    <row r="15" spans="1:12" s="119" customFormat="1" ht="12.95" customHeight="1" x14ac:dyDescent="0.2">
      <c r="A15" s="53"/>
      <c r="B15" s="127"/>
      <c r="C15" s="127"/>
      <c r="D15" s="65">
        <v>2018</v>
      </c>
      <c r="E15" s="166">
        <f>SUM(F15:K15)</f>
        <v>16762</v>
      </c>
      <c r="F15" s="166">
        <f t="shared" si="2"/>
        <v>3515</v>
      </c>
      <c r="G15" s="166">
        <f t="shared" si="2"/>
        <v>654</v>
      </c>
      <c r="H15" s="166">
        <f t="shared" si="2"/>
        <v>2358</v>
      </c>
      <c r="I15" s="166">
        <f t="shared" si="2"/>
        <v>6510</v>
      </c>
      <c r="J15" s="166">
        <f t="shared" si="2"/>
        <v>87</v>
      </c>
      <c r="K15" s="166">
        <f t="shared" si="2"/>
        <v>3638</v>
      </c>
    </row>
    <row r="16" spans="1:12" s="119" customFormat="1" ht="8.1" customHeight="1" x14ac:dyDescent="0.2">
      <c r="A16" s="53"/>
      <c r="B16" s="127"/>
      <c r="C16" s="127"/>
      <c r="D16" s="65"/>
      <c r="E16" s="166"/>
      <c r="F16" s="166"/>
      <c r="G16" s="166"/>
      <c r="H16" s="166"/>
      <c r="I16" s="166"/>
      <c r="J16" s="166"/>
      <c r="K16" s="166"/>
    </row>
    <row r="17" spans="1:14" s="53" customFormat="1" ht="12.95" customHeight="1" x14ac:dyDescent="0.2">
      <c r="B17" s="58" t="s">
        <v>103</v>
      </c>
      <c r="C17" s="58"/>
      <c r="D17" s="162">
        <v>2016</v>
      </c>
      <c r="E17" s="167">
        <f>SUM(F17:K17)</f>
        <v>2549</v>
      </c>
      <c r="F17" s="167">
        <v>600</v>
      </c>
      <c r="G17" s="167">
        <v>82</v>
      </c>
      <c r="H17" s="167">
        <v>313</v>
      </c>
      <c r="I17" s="167">
        <v>780</v>
      </c>
      <c r="J17" s="167">
        <v>233</v>
      </c>
      <c r="K17" s="167">
        <v>541</v>
      </c>
    </row>
    <row r="18" spans="1:14" s="53" customFormat="1" ht="12.95" customHeight="1" x14ac:dyDescent="0.2">
      <c r="A18" s="119"/>
      <c r="B18" s="58"/>
      <c r="C18" s="58"/>
      <c r="D18" s="162">
        <v>2017</v>
      </c>
      <c r="E18" s="167">
        <f t="shared" ref="E18" si="3">SUM(F18:K18)</f>
        <v>1960</v>
      </c>
      <c r="F18" s="167">
        <v>390</v>
      </c>
      <c r="G18" s="167">
        <v>58</v>
      </c>
      <c r="H18" s="167">
        <v>274</v>
      </c>
      <c r="I18" s="167">
        <v>817</v>
      </c>
      <c r="J18" s="167">
        <v>3</v>
      </c>
      <c r="K18" s="167">
        <v>418</v>
      </c>
    </row>
    <row r="19" spans="1:14" s="53" customFormat="1" ht="12.95" customHeight="1" x14ac:dyDescent="0.2">
      <c r="A19" s="119"/>
      <c r="B19" s="58"/>
      <c r="C19" s="58"/>
      <c r="D19" s="162">
        <v>2018</v>
      </c>
      <c r="E19" s="167">
        <f>SUM(F19:K19)</f>
        <v>1828</v>
      </c>
      <c r="F19" s="167">
        <v>426</v>
      </c>
      <c r="G19" s="167">
        <v>53</v>
      </c>
      <c r="H19" s="167">
        <v>234</v>
      </c>
      <c r="I19" s="167">
        <v>709</v>
      </c>
      <c r="J19" s="167">
        <v>1</v>
      </c>
      <c r="K19" s="167">
        <v>405</v>
      </c>
    </row>
    <row r="20" spans="1:14" s="53" customFormat="1" ht="8.1" customHeight="1" x14ac:dyDescent="0.2">
      <c r="A20" s="119"/>
      <c r="B20" s="58"/>
      <c r="C20" s="58"/>
      <c r="D20" s="162"/>
      <c r="E20" s="167"/>
      <c r="F20" s="167"/>
      <c r="G20" s="167"/>
      <c r="H20" s="167"/>
      <c r="I20" s="167"/>
      <c r="J20" s="167"/>
      <c r="K20" s="167"/>
    </row>
    <row r="21" spans="1:14" s="53" customFormat="1" ht="12.95" customHeight="1" x14ac:dyDescent="0.2">
      <c r="B21" s="58" t="s">
        <v>104</v>
      </c>
      <c r="C21" s="58"/>
      <c r="D21" s="162">
        <v>2016</v>
      </c>
      <c r="E21" s="167">
        <f>SUM(F21:K21)</f>
        <v>2862</v>
      </c>
      <c r="F21" s="165">
        <v>734</v>
      </c>
      <c r="G21" s="165">
        <v>105</v>
      </c>
      <c r="H21" s="167">
        <v>478</v>
      </c>
      <c r="I21" s="165">
        <v>1192</v>
      </c>
      <c r="J21" s="167">
        <v>20</v>
      </c>
      <c r="K21" s="167">
        <v>333</v>
      </c>
    </row>
    <row r="22" spans="1:14" s="53" customFormat="1" ht="12.95" customHeight="1" x14ac:dyDescent="0.2">
      <c r="B22" s="58"/>
      <c r="C22" s="58"/>
      <c r="D22" s="162">
        <v>2017</v>
      </c>
      <c r="E22" s="167">
        <f t="shared" ref="E22" si="4">SUM(F22:K22)</f>
        <v>2246</v>
      </c>
      <c r="F22" s="167">
        <v>472</v>
      </c>
      <c r="G22" s="167">
        <v>101</v>
      </c>
      <c r="H22" s="167">
        <v>388</v>
      </c>
      <c r="I22" s="167">
        <v>1067</v>
      </c>
      <c r="J22" s="167">
        <v>3</v>
      </c>
      <c r="K22" s="167">
        <v>215</v>
      </c>
    </row>
    <row r="23" spans="1:14" s="118" customFormat="1" ht="12.95" customHeight="1" x14ac:dyDescent="0.2">
      <c r="A23" s="119"/>
      <c r="B23" s="58"/>
      <c r="C23" s="58"/>
      <c r="D23" s="162">
        <v>2018</v>
      </c>
      <c r="E23" s="167">
        <f>SUM(F23:K23)</f>
        <v>1931</v>
      </c>
      <c r="F23" s="165">
        <v>390</v>
      </c>
      <c r="G23" s="165">
        <v>84</v>
      </c>
      <c r="H23" s="167">
        <v>321</v>
      </c>
      <c r="I23" s="165">
        <v>886</v>
      </c>
      <c r="J23" s="167" t="s">
        <v>51</v>
      </c>
      <c r="K23" s="167">
        <v>250</v>
      </c>
      <c r="L23" s="53"/>
      <c r="M23" s="53"/>
      <c r="N23" s="53"/>
    </row>
    <row r="24" spans="1:14" s="118" customFormat="1" ht="8.1" customHeight="1" x14ac:dyDescent="0.2">
      <c r="A24" s="119"/>
      <c r="B24" s="58"/>
      <c r="C24" s="58"/>
      <c r="D24" s="162"/>
      <c r="E24" s="167"/>
      <c r="F24" s="165"/>
      <c r="G24" s="165"/>
      <c r="H24" s="167"/>
      <c r="I24" s="165"/>
      <c r="J24" s="167"/>
      <c r="K24" s="167"/>
      <c r="L24" s="53"/>
      <c r="M24" s="53"/>
      <c r="N24" s="53"/>
    </row>
    <row r="25" spans="1:14" s="53" customFormat="1" ht="12.95" customHeight="1" x14ac:dyDescent="0.2">
      <c r="B25" s="58" t="s">
        <v>105</v>
      </c>
      <c r="C25" s="58"/>
      <c r="D25" s="162">
        <v>2016</v>
      </c>
      <c r="E25" s="167">
        <f>SUM(F25:K25)</f>
        <v>405</v>
      </c>
      <c r="F25" s="167">
        <v>70</v>
      </c>
      <c r="G25" s="167">
        <v>24</v>
      </c>
      <c r="H25" s="167">
        <v>30</v>
      </c>
      <c r="I25" s="167">
        <v>190</v>
      </c>
      <c r="J25" s="167">
        <v>7</v>
      </c>
      <c r="K25" s="167">
        <v>84</v>
      </c>
    </row>
    <row r="26" spans="1:14" s="53" customFormat="1" ht="12.95" customHeight="1" x14ac:dyDescent="0.2">
      <c r="B26" s="58"/>
      <c r="C26" s="58"/>
      <c r="D26" s="162">
        <v>2017</v>
      </c>
      <c r="E26" s="167">
        <f t="shared" ref="E26" si="5">SUM(F26:K26)</f>
        <v>372</v>
      </c>
      <c r="F26" s="167">
        <v>86</v>
      </c>
      <c r="G26" s="167">
        <v>14</v>
      </c>
      <c r="H26" s="167">
        <v>29</v>
      </c>
      <c r="I26" s="167">
        <v>152</v>
      </c>
      <c r="J26" s="167">
        <v>2</v>
      </c>
      <c r="K26" s="167">
        <v>89</v>
      </c>
    </row>
    <row r="27" spans="1:14" s="53" customFormat="1" ht="12.95" customHeight="1" x14ac:dyDescent="0.2">
      <c r="A27" s="119"/>
      <c r="B27" s="58"/>
      <c r="C27" s="58"/>
      <c r="D27" s="162">
        <v>2018</v>
      </c>
      <c r="E27" s="167">
        <f>SUM(F27:K27)</f>
        <v>357</v>
      </c>
      <c r="F27" s="167">
        <v>65</v>
      </c>
      <c r="G27" s="167">
        <v>8</v>
      </c>
      <c r="H27" s="167">
        <v>32</v>
      </c>
      <c r="I27" s="167">
        <v>150</v>
      </c>
      <c r="J27" s="167">
        <v>5</v>
      </c>
      <c r="K27" s="167">
        <v>97</v>
      </c>
    </row>
    <row r="28" spans="1:14" s="53" customFormat="1" ht="8.1" customHeight="1" x14ac:dyDescent="0.2">
      <c r="A28" s="119"/>
      <c r="B28" s="58"/>
      <c r="C28" s="58"/>
      <c r="D28" s="162"/>
      <c r="E28" s="167"/>
      <c r="F28" s="167"/>
      <c r="G28" s="167"/>
      <c r="H28" s="167"/>
      <c r="I28" s="167"/>
      <c r="J28" s="167"/>
      <c r="K28" s="167"/>
    </row>
    <row r="29" spans="1:14" s="53" customFormat="1" ht="12.95" customHeight="1" x14ac:dyDescent="0.2">
      <c r="B29" s="58" t="s">
        <v>106</v>
      </c>
      <c r="C29" s="58"/>
      <c r="D29" s="162">
        <v>2016</v>
      </c>
      <c r="E29" s="167">
        <f>SUM(F29:K29)</f>
        <v>3235</v>
      </c>
      <c r="F29" s="167">
        <v>824</v>
      </c>
      <c r="G29" s="167">
        <v>143</v>
      </c>
      <c r="H29" s="167">
        <v>354</v>
      </c>
      <c r="I29" s="167">
        <v>1286</v>
      </c>
      <c r="J29" s="167">
        <v>146</v>
      </c>
      <c r="K29" s="167">
        <v>482</v>
      </c>
    </row>
    <row r="30" spans="1:14" s="53" customFormat="1" ht="12.95" customHeight="1" x14ac:dyDescent="0.2">
      <c r="B30" s="58"/>
      <c r="C30" s="58"/>
      <c r="D30" s="162">
        <v>2017</v>
      </c>
      <c r="E30" s="167">
        <f t="shared" ref="E30" si="6">SUM(F30:K30)</f>
        <v>2641</v>
      </c>
      <c r="F30" s="167">
        <v>698</v>
      </c>
      <c r="G30" s="167">
        <v>107</v>
      </c>
      <c r="H30" s="167">
        <v>245</v>
      </c>
      <c r="I30" s="167">
        <v>920</v>
      </c>
      <c r="J30" s="167" t="s">
        <v>51</v>
      </c>
      <c r="K30" s="167">
        <v>671</v>
      </c>
    </row>
    <row r="31" spans="1:14" s="53" customFormat="1" ht="12.95" customHeight="1" x14ac:dyDescent="0.2">
      <c r="A31" s="119"/>
      <c r="B31" s="58"/>
      <c r="C31" s="58"/>
      <c r="D31" s="162">
        <v>2018</v>
      </c>
      <c r="E31" s="167">
        <f>SUM(F31:K31)</f>
        <v>1906</v>
      </c>
      <c r="F31" s="167">
        <v>415</v>
      </c>
      <c r="G31" s="167">
        <v>106</v>
      </c>
      <c r="H31" s="167">
        <v>247</v>
      </c>
      <c r="I31" s="167">
        <v>800</v>
      </c>
      <c r="J31" s="167" t="s">
        <v>51</v>
      </c>
      <c r="K31" s="167">
        <v>338</v>
      </c>
    </row>
    <row r="32" spans="1:14" s="53" customFormat="1" ht="8.1" customHeight="1" x14ac:dyDescent="0.2">
      <c r="A32" s="119"/>
      <c r="B32" s="58"/>
      <c r="C32" s="58"/>
      <c r="D32" s="162"/>
      <c r="E32" s="167"/>
      <c r="F32" s="167"/>
      <c r="G32" s="167"/>
      <c r="H32" s="167"/>
      <c r="I32" s="167"/>
      <c r="J32" s="167"/>
      <c r="K32" s="167"/>
    </row>
    <row r="33" spans="1:11" s="53" customFormat="1" ht="12.95" customHeight="1" x14ac:dyDescent="0.2">
      <c r="B33" s="58" t="s">
        <v>107</v>
      </c>
      <c r="C33" s="58"/>
      <c r="D33" s="162">
        <v>2016</v>
      </c>
      <c r="E33" s="167">
        <f>SUM(F33:K33)</f>
        <v>1704</v>
      </c>
      <c r="F33" s="167">
        <v>372</v>
      </c>
      <c r="G33" s="167">
        <v>86</v>
      </c>
      <c r="H33" s="167">
        <v>277</v>
      </c>
      <c r="I33" s="167">
        <v>718</v>
      </c>
      <c r="J33" s="167">
        <v>18</v>
      </c>
      <c r="K33" s="167">
        <v>233</v>
      </c>
    </row>
    <row r="34" spans="1:11" s="53" customFormat="1" ht="12.95" customHeight="1" x14ac:dyDescent="0.2">
      <c r="B34" s="58"/>
      <c r="C34" s="58"/>
      <c r="D34" s="162">
        <v>2017</v>
      </c>
      <c r="E34" s="167">
        <f t="shared" ref="E34" si="7">SUM(F34:K34)</f>
        <v>1610</v>
      </c>
      <c r="F34" s="167">
        <v>448</v>
      </c>
      <c r="G34" s="167">
        <v>75</v>
      </c>
      <c r="H34" s="167">
        <v>198</v>
      </c>
      <c r="I34" s="167">
        <v>671</v>
      </c>
      <c r="J34" s="167">
        <v>8</v>
      </c>
      <c r="K34" s="167">
        <v>210</v>
      </c>
    </row>
    <row r="35" spans="1:11" s="53" customFormat="1" ht="12.95" customHeight="1" x14ac:dyDescent="0.2">
      <c r="A35" s="119"/>
      <c r="B35" s="58"/>
      <c r="C35" s="58"/>
      <c r="D35" s="162">
        <v>2018</v>
      </c>
      <c r="E35" s="167">
        <f>SUM(F35:K35)</f>
        <v>1425</v>
      </c>
      <c r="F35" s="167">
        <v>389</v>
      </c>
      <c r="G35" s="167">
        <v>47</v>
      </c>
      <c r="H35" s="167">
        <v>206</v>
      </c>
      <c r="I35" s="167">
        <v>531</v>
      </c>
      <c r="J35" s="167" t="s">
        <v>51</v>
      </c>
      <c r="K35" s="167">
        <v>252</v>
      </c>
    </row>
    <row r="36" spans="1:11" s="53" customFormat="1" ht="8.1" customHeight="1" x14ac:dyDescent="0.2">
      <c r="A36" s="119"/>
      <c r="B36" s="58"/>
      <c r="C36" s="58"/>
      <c r="D36" s="162"/>
      <c r="E36" s="167"/>
      <c r="F36" s="167"/>
      <c r="G36" s="167"/>
      <c r="H36" s="167"/>
      <c r="I36" s="167"/>
      <c r="J36" s="167"/>
      <c r="K36" s="167"/>
    </row>
    <row r="37" spans="1:11" s="53" customFormat="1" ht="12.95" customHeight="1" x14ac:dyDescent="0.2">
      <c r="B37" s="58" t="s">
        <v>108</v>
      </c>
      <c r="C37" s="58"/>
      <c r="D37" s="162">
        <v>2016</v>
      </c>
      <c r="E37" s="167">
        <f>SUM(F37:K37)</f>
        <v>1204</v>
      </c>
      <c r="F37" s="167">
        <v>287</v>
      </c>
      <c r="G37" s="167">
        <v>66</v>
      </c>
      <c r="H37" s="167">
        <v>166</v>
      </c>
      <c r="I37" s="167">
        <v>471</v>
      </c>
      <c r="J37" s="167">
        <v>25</v>
      </c>
      <c r="K37" s="167">
        <v>189</v>
      </c>
    </row>
    <row r="38" spans="1:11" s="53" customFormat="1" ht="12.95" customHeight="1" x14ac:dyDescent="0.2">
      <c r="B38" s="58"/>
      <c r="C38" s="58"/>
      <c r="D38" s="162">
        <v>2017</v>
      </c>
      <c r="E38" s="167">
        <f t="shared" ref="E38" si="8">SUM(F38:K38)</f>
        <v>991</v>
      </c>
      <c r="F38" s="167">
        <v>165</v>
      </c>
      <c r="G38" s="167">
        <v>55</v>
      </c>
      <c r="H38" s="167">
        <v>141</v>
      </c>
      <c r="I38" s="167">
        <v>423</v>
      </c>
      <c r="J38" s="167">
        <v>17</v>
      </c>
      <c r="K38" s="167">
        <v>190</v>
      </c>
    </row>
    <row r="39" spans="1:11" s="53" customFormat="1" ht="12.95" customHeight="1" x14ac:dyDescent="0.2">
      <c r="A39" s="119"/>
      <c r="B39" s="58"/>
      <c r="C39" s="58"/>
      <c r="D39" s="162">
        <v>2018</v>
      </c>
      <c r="E39" s="167">
        <f>SUM(F39:K39)</f>
        <v>775</v>
      </c>
      <c r="F39" s="167">
        <v>146</v>
      </c>
      <c r="G39" s="167">
        <v>23</v>
      </c>
      <c r="H39" s="167">
        <v>122</v>
      </c>
      <c r="I39" s="167">
        <v>312</v>
      </c>
      <c r="J39" s="167">
        <v>3</v>
      </c>
      <c r="K39" s="167">
        <v>169</v>
      </c>
    </row>
    <row r="40" spans="1:11" s="53" customFormat="1" ht="8.1" customHeight="1" x14ac:dyDescent="0.2">
      <c r="A40" s="119"/>
      <c r="B40" s="58"/>
      <c r="C40" s="58"/>
      <c r="D40" s="162"/>
      <c r="E40" s="167"/>
      <c r="F40" s="167"/>
      <c r="G40" s="167"/>
      <c r="H40" s="167"/>
      <c r="I40" s="167"/>
      <c r="J40" s="167"/>
      <c r="K40" s="167"/>
    </row>
    <row r="41" spans="1:11" s="53" customFormat="1" ht="12.95" customHeight="1" x14ac:dyDescent="0.2">
      <c r="B41" s="58" t="s">
        <v>109</v>
      </c>
      <c r="C41" s="58"/>
      <c r="D41" s="162">
        <v>2016</v>
      </c>
      <c r="E41" s="167">
        <f>SUM(F41:K41)</f>
        <v>594</v>
      </c>
      <c r="F41" s="167">
        <v>78</v>
      </c>
      <c r="G41" s="167">
        <v>29</v>
      </c>
      <c r="H41" s="167">
        <v>34</v>
      </c>
      <c r="I41" s="167">
        <v>364</v>
      </c>
      <c r="J41" s="167">
        <v>4</v>
      </c>
      <c r="K41" s="167">
        <v>85</v>
      </c>
    </row>
    <row r="42" spans="1:11" s="53" customFormat="1" ht="12.95" customHeight="1" x14ac:dyDescent="0.2">
      <c r="B42" s="58"/>
      <c r="C42" s="58"/>
      <c r="D42" s="162">
        <v>2017</v>
      </c>
      <c r="E42" s="167">
        <f t="shared" ref="E42" si="9">SUM(F42:K42)</f>
        <v>490</v>
      </c>
      <c r="F42" s="167">
        <v>80</v>
      </c>
      <c r="G42" s="167">
        <v>22</v>
      </c>
      <c r="H42" s="167">
        <v>33</v>
      </c>
      <c r="I42" s="167">
        <v>275</v>
      </c>
      <c r="J42" s="167">
        <v>1</v>
      </c>
      <c r="K42" s="167">
        <v>79</v>
      </c>
    </row>
    <row r="43" spans="1:11" s="53" customFormat="1" ht="12.95" customHeight="1" x14ac:dyDescent="0.2">
      <c r="A43" s="119"/>
      <c r="B43" s="58"/>
      <c r="C43" s="58"/>
      <c r="D43" s="162">
        <v>2018</v>
      </c>
      <c r="E43" s="167">
        <f>SUM(F43:K43)</f>
        <v>395</v>
      </c>
      <c r="F43" s="167">
        <v>43</v>
      </c>
      <c r="G43" s="167">
        <v>17</v>
      </c>
      <c r="H43" s="167">
        <v>30</v>
      </c>
      <c r="I43" s="167">
        <v>231</v>
      </c>
      <c r="J43" s="167">
        <v>1</v>
      </c>
      <c r="K43" s="167">
        <v>73</v>
      </c>
    </row>
    <row r="44" spans="1:11" s="53" customFormat="1" ht="8.1" customHeight="1" x14ac:dyDescent="0.2">
      <c r="A44" s="119"/>
      <c r="B44" s="58"/>
      <c r="C44" s="58"/>
      <c r="D44" s="162"/>
      <c r="E44" s="167"/>
      <c r="F44" s="167"/>
      <c r="G44" s="167"/>
      <c r="H44" s="167"/>
      <c r="I44" s="167"/>
      <c r="J44" s="167"/>
      <c r="K44" s="167"/>
    </row>
    <row r="45" spans="1:11" s="53" customFormat="1" ht="12.95" customHeight="1" x14ac:dyDescent="0.2">
      <c r="B45" s="58" t="s">
        <v>110</v>
      </c>
      <c r="C45" s="58"/>
      <c r="D45" s="162">
        <v>2016</v>
      </c>
      <c r="E45" s="167">
        <f>SUM(F45:K45)</f>
        <v>418</v>
      </c>
      <c r="F45" s="167">
        <v>90</v>
      </c>
      <c r="G45" s="167">
        <v>14</v>
      </c>
      <c r="H45" s="167">
        <v>21</v>
      </c>
      <c r="I45" s="167">
        <v>230</v>
      </c>
      <c r="J45" s="167">
        <v>6</v>
      </c>
      <c r="K45" s="167">
        <v>57</v>
      </c>
    </row>
    <row r="46" spans="1:11" s="53" customFormat="1" ht="12.95" customHeight="1" x14ac:dyDescent="0.2">
      <c r="B46" s="58"/>
      <c r="C46" s="58"/>
      <c r="D46" s="162">
        <v>2017</v>
      </c>
      <c r="E46" s="167">
        <f t="shared" ref="E46" si="10">SUM(F46:K46)</f>
        <v>320</v>
      </c>
      <c r="F46" s="165">
        <v>76</v>
      </c>
      <c r="G46" s="167">
        <v>26</v>
      </c>
      <c r="H46" s="167">
        <v>20</v>
      </c>
      <c r="I46" s="167">
        <v>155</v>
      </c>
      <c r="J46" s="167">
        <v>2</v>
      </c>
      <c r="K46" s="167">
        <v>41</v>
      </c>
    </row>
    <row r="47" spans="1:11" s="53" customFormat="1" ht="12.95" customHeight="1" x14ac:dyDescent="0.2">
      <c r="A47" s="119"/>
      <c r="B47" s="58"/>
      <c r="C47" s="58"/>
      <c r="D47" s="162">
        <v>2018</v>
      </c>
      <c r="E47" s="167">
        <f>SUM(F47:K47)</f>
        <v>286</v>
      </c>
      <c r="F47" s="167">
        <v>74</v>
      </c>
      <c r="G47" s="167">
        <v>7</v>
      </c>
      <c r="H47" s="167">
        <v>21</v>
      </c>
      <c r="I47" s="167">
        <v>136</v>
      </c>
      <c r="J47" s="167" t="s">
        <v>51</v>
      </c>
      <c r="K47" s="167">
        <v>48</v>
      </c>
    </row>
    <row r="48" spans="1:11" s="53" customFormat="1" ht="8.1" customHeight="1" x14ac:dyDescent="0.2">
      <c r="A48" s="119"/>
      <c r="B48" s="58"/>
      <c r="C48" s="58"/>
      <c r="D48" s="162"/>
      <c r="E48" s="167"/>
      <c r="F48" s="167"/>
      <c r="G48" s="167"/>
      <c r="H48" s="167"/>
      <c r="I48" s="167"/>
      <c r="J48" s="167"/>
      <c r="K48" s="167"/>
    </row>
    <row r="49" spans="1:13" s="119" customFormat="1" ht="12.95" customHeight="1" x14ac:dyDescent="0.2">
      <c r="A49" s="53"/>
      <c r="B49" s="58" t="s">
        <v>111</v>
      </c>
      <c r="C49" s="58"/>
      <c r="D49" s="162">
        <v>2016</v>
      </c>
      <c r="E49" s="167">
        <f>SUM(F49:K49)</f>
        <v>3701</v>
      </c>
      <c r="F49" s="167">
        <v>750</v>
      </c>
      <c r="G49" s="167">
        <v>103</v>
      </c>
      <c r="H49" s="167">
        <v>578</v>
      </c>
      <c r="I49" s="167">
        <v>1211</v>
      </c>
      <c r="J49" s="167">
        <v>240</v>
      </c>
      <c r="K49" s="167">
        <v>819</v>
      </c>
      <c r="L49" s="301"/>
      <c r="M49" s="301"/>
    </row>
    <row r="50" spans="1:13" s="119" customFormat="1" ht="12.95" customHeight="1" x14ac:dyDescent="0.2">
      <c r="A50" s="53"/>
      <c r="B50" s="58"/>
      <c r="C50" s="58"/>
      <c r="D50" s="162">
        <v>2017</v>
      </c>
      <c r="E50" s="167">
        <f t="shared" ref="E50" si="11">SUM(F50:K50)</f>
        <v>3076</v>
      </c>
      <c r="F50" s="167">
        <v>616</v>
      </c>
      <c r="G50" s="167">
        <v>85</v>
      </c>
      <c r="H50" s="167">
        <v>425</v>
      </c>
      <c r="I50" s="167">
        <v>1225</v>
      </c>
      <c r="J50" s="167">
        <v>31</v>
      </c>
      <c r="K50" s="167">
        <v>694</v>
      </c>
      <c r="L50" s="301"/>
      <c r="M50" s="301"/>
    </row>
    <row r="51" spans="1:13" s="119" customFormat="1" ht="12.95" customHeight="1" x14ac:dyDescent="0.2">
      <c r="B51" s="58"/>
      <c r="C51" s="58"/>
      <c r="D51" s="162">
        <v>2018</v>
      </c>
      <c r="E51" s="167">
        <f>SUM(F51:K51)</f>
        <v>2618</v>
      </c>
      <c r="F51" s="167">
        <v>552</v>
      </c>
      <c r="G51" s="167">
        <v>51</v>
      </c>
      <c r="H51" s="167">
        <v>412</v>
      </c>
      <c r="I51" s="167">
        <v>877</v>
      </c>
      <c r="J51" s="167">
        <v>19</v>
      </c>
      <c r="K51" s="167">
        <v>707</v>
      </c>
      <c r="L51" s="301"/>
      <c r="M51" s="301"/>
    </row>
    <row r="52" spans="1:13" s="119" customFormat="1" ht="8.1" customHeight="1" x14ac:dyDescent="0.2">
      <c r="B52" s="58"/>
      <c r="C52" s="58"/>
      <c r="D52" s="162"/>
      <c r="E52" s="167"/>
      <c r="F52" s="167"/>
      <c r="G52" s="167"/>
      <c r="H52" s="167"/>
      <c r="I52" s="167"/>
      <c r="J52" s="167"/>
      <c r="K52" s="167"/>
      <c r="L52" s="301"/>
      <c r="M52" s="301"/>
    </row>
    <row r="53" spans="1:13" s="119" customFormat="1" ht="12.95" customHeight="1" x14ac:dyDescent="0.2">
      <c r="A53" s="53"/>
      <c r="B53" s="58" t="s">
        <v>112</v>
      </c>
      <c r="C53" s="58"/>
      <c r="D53" s="162">
        <v>2016</v>
      </c>
      <c r="E53" s="167">
        <f>SUM(F53:K53)</f>
        <v>352</v>
      </c>
      <c r="F53" s="167">
        <v>95</v>
      </c>
      <c r="G53" s="167">
        <v>3</v>
      </c>
      <c r="H53" s="167">
        <v>10</v>
      </c>
      <c r="I53" s="167">
        <v>135</v>
      </c>
      <c r="J53" s="167">
        <v>30</v>
      </c>
      <c r="K53" s="167">
        <v>79</v>
      </c>
      <c r="L53" s="301"/>
      <c r="M53" s="301"/>
    </row>
    <row r="54" spans="1:13" s="119" customFormat="1" ht="12.95" customHeight="1" x14ac:dyDescent="0.2">
      <c r="A54" s="53"/>
      <c r="B54" s="58"/>
      <c r="C54" s="58"/>
      <c r="D54" s="162">
        <v>2017</v>
      </c>
      <c r="E54" s="167">
        <f t="shared" ref="E54" si="12">SUM(F54:K54)</f>
        <v>332</v>
      </c>
      <c r="F54" s="167">
        <v>104</v>
      </c>
      <c r="G54" s="167">
        <v>12</v>
      </c>
      <c r="H54" s="167">
        <v>12</v>
      </c>
      <c r="I54" s="167">
        <v>102</v>
      </c>
      <c r="J54" s="167">
        <v>15</v>
      </c>
      <c r="K54" s="167">
        <v>87</v>
      </c>
      <c r="L54" s="301"/>
      <c r="M54" s="301"/>
    </row>
    <row r="55" spans="1:13" s="119" customFormat="1" ht="12.95" customHeight="1" x14ac:dyDescent="0.2">
      <c r="B55" s="58"/>
      <c r="C55" s="58"/>
      <c r="D55" s="162">
        <v>2018</v>
      </c>
      <c r="E55" s="167">
        <f>SUM(F55:K55)</f>
        <v>303</v>
      </c>
      <c r="F55" s="167">
        <v>81</v>
      </c>
      <c r="G55" s="167">
        <v>8</v>
      </c>
      <c r="H55" s="167">
        <v>10</v>
      </c>
      <c r="I55" s="167">
        <v>97</v>
      </c>
      <c r="J55" s="167">
        <v>7</v>
      </c>
      <c r="K55" s="167">
        <v>100</v>
      </c>
      <c r="L55" s="301"/>
      <c r="M55" s="301"/>
    </row>
    <row r="56" spans="1:13" s="119" customFormat="1" ht="8.1" customHeight="1" x14ac:dyDescent="0.2">
      <c r="B56" s="58"/>
      <c r="C56" s="58"/>
      <c r="D56" s="162"/>
      <c r="E56" s="167"/>
      <c r="F56" s="167"/>
      <c r="G56" s="167"/>
      <c r="H56" s="167"/>
      <c r="I56" s="167"/>
      <c r="J56" s="167"/>
      <c r="K56" s="167"/>
      <c r="L56" s="301"/>
      <c r="M56" s="301"/>
    </row>
    <row r="57" spans="1:13" s="119" customFormat="1" ht="12.95" customHeight="1" x14ac:dyDescent="0.2">
      <c r="A57" s="53"/>
      <c r="B57" s="58" t="s">
        <v>113</v>
      </c>
      <c r="C57" s="58"/>
      <c r="D57" s="162">
        <v>2016</v>
      </c>
      <c r="E57" s="167">
        <f>SUM(F57:K57)</f>
        <v>915</v>
      </c>
      <c r="F57" s="167">
        <v>221</v>
      </c>
      <c r="G57" s="167">
        <v>36</v>
      </c>
      <c r="H57" s="167">
        <v>76</v>
      </c>
      <c r="I57" s="167">
        <v>195</v>
      </c>
      <c r="J57" s="167">
        <v>16</v>
      </c>
      <c r="K57" s="167">
        <v>371</v>
      </c>
      <c r="L57" s="301"/>
      <c r="M57" s="301"/>
    </row>
    <row r="58" spans="1:13" s="119" customFormat="1" ht="12.95" customHeight="1" x14ac:dyDescent="0.2">
      <c r="A58" s="53"/>
      <c r="B58" s="58"/>
      <c r="C58" s="58"/>
      <c r="D58" s="162">
        <v>2017</v>
      </c>
      <c r="E58" s="167">
        <f t="shared" ref="E58" si="13">SUM(F58:K58)</f>
        <v>598</v>
      </c>
      <c r="F58" s="167">
        <v>120</v>
      </c>
      <c r="G58" s="167">
        <v>14</v>
      </c>
      <c r="H58" s="167">
        <v>48</v>
      </c>
      <c r="I58" s="167">
        <v>170</v>
      </c>
      <c r="J58" s="167" t="s">
        <v>51</v>
      </c>
      <c r="K58" s="167">
        <v>246</v>
      </c>
      <c r="L58" s="301"/>
      <c r="M58" s="301"/>
    </row>
    <row r="59" spans="1:13" s="119" customFormat="1" ht="12.95" customHeight="1" x14ac:dyDescent="0.2">
      <c r="B59" s="58"/>
      <c r="C59" s="58"/>
      <c r="D59" s="162">
        <v>2018</v>
      </c>
      <c r="E59" s="167">
        <f>SUM(F59:K59)</f>
        <v>534</v>
      </c>
      <c r="F59" s="167">
        <v>111</v>
      </c>
      <c r="G59" s="167">
        <v>12</v>
      </c>
      <c r="H59" s="167">
        <v>47</v>
      </c>
      <c r="I59" s="167">
        <v>148</v>
      </c>
      <c r="J59" s="165" t="s">
        <v>51</v>
      </c>
      <c r="K59" s="167">
        <v>216</v>
      </c>
      <c r="L59" s="301"/>
      <c r="M59" s="301"/>
    </row>
    <row r="60" spans="1:13" s="119" customFormat="1" ht="8.1" customHeight="1" x14ac:dyDescent="0.2">
      <c r="B60" s="58"/>
      <c r="C60" s="58"/>
      <c r="D60" s="162"/>
      <c r="E60" s="167"/>
      <c r="F60" s="167"/>
      <c r="G60" s="167"/>
      <c r="H60" s="167"/>
      <c r="I60" s="167"/>
      <c r="J60" s="167"/>
      <c r="K60" s="167"/>
      <c r="L60" s="301"/>
      <c r="M60" s="301"/>
    </row>
    <row r="61" spans="1:13" s="119" customFormat="1" ht="12.95" customHeight="1" x14ac:dyDescent="0.2">
      <c r="A61" s="53"/>
      <c r="B61" s="58" t="s">
        <v>114</v>
      </c>
      <c r="C61" s="58"/>
      <c r="D61" s="162">
        <v>2016</v>
      </c>
      <c r="E61" s="167">
        <f>SUM(F61:K61)</f>
        <v>2158</v>
      </c>
      <c r="F61" s="167">
        <v>515</v>
      </c>
      <c r="G61" s="167">
        <v>117</v>
      </c>
      <c r="H61" s="167">
        <v>404</v>
      </c>
      <c r="I61" s="167">
        <v>429</v>
      </c>
      <c r="J61" s="167">
        <v>141</v>
      </c>
      <c r="K61" s="167">
        <v>552</v>
      </c>
      <c r="L61" s="301"/>
      <c r="M61" s="301"/>
    </row>
    <row r="62" spans="1:13" s="119" customFormat="1" ht="12.95" customHeight="1" x14ac:dyDescent="0.2">
      <c r="A62" s="53"/>
      <c r="B62" s="58"/>
      <c r="C62" s="58"/>
      <c r="D62" s="162">
        <v>2017</v>
      </c>
      <c r="E62" s="167">
        <f t="shared" ref="E62" si="14">SUM(F62:K62)</f>
        <v>1372</v>
      </c>
      <c r="F62" s="167">
        <v>292</v>
      </c>
      <c r="G62" s="167">
        <v>49</v>
      </c>
      <c r="H62" s="167">
        <v>349</v>
      </c>
      <c r="I62" s="167">
        <v>366</v>
      </c>
      <c r="J62" s="167">
        <v>22</v>
      </c>
      <c r="K62" s="167">
        <v>294</v>
      </c>
      <c r="L62" s="301"/>
      <c r="M62" s="301"/>
    </row>
    <row r="63" spans="1:13" s="119" customFormat="1" ht="12.95" customHeight="1" x14ac:dyDescent="0.2">
      <c r="B63" s="58"/>
      <c r="C63" s="58"/>
      <c r="D63" s="162">
        <v>2018</v>
      </c>
      <c r="E63" s="167">
        <f>SUM(F63:K63)</f>
        <v>1291</v>
      </c>
      <c r="F63" s="167">
        <v>277</v>
      </c>
      <c r="G63" s="167">
        <v>63</v>
      </c>
      <c r="H63" s="167">
        <v>310</v>
      </c>
      <c r="I63" s="167">
        <v>338</v>
      </c>
      <c r="J63" s="167" t="s">
        <v>51</v>
      </c>
      <c r="K63" s="167">
        <v>303</v>
      </c>
      <c r="L63" s="301"/>
      <c r="M63" s="301"/>
    </row>
    <row r="64" spans="1:13" s="119" customFormat="1" ht="8.1" customHeight="1" x14ac:dyDescent="0.2">
      <c r="B64" s="58"/>
      <c r="C64" s="58"/>
      <c r="D64" s="162"/>
      <c r="E64" s="167"/>
      <c r="F64" s="167"/>
      <c r="G64" s="167"/>
      <c r="H64" s="167"/>
      <c r="I64" s="167"/>
      <c r="J64" s="167"/>
      <c r="K64" s="167"/>
      <c r="L64" s="301"/>
      <c r="M64" s="301"/>
    </row>
    <row r="65" spans="1:12" s="86" customFormat="1" ht="12.95" customHeight="1" x14ac:dyDescent="0.2">
      <c r="A65" s="119"/>
      <c r="B65" s="58" t="s">
        <v>115</v>
      </c>
      <c r="C65" s="58"/>
      <c r="D65" s="162">
        <v>2016</v>
      </c>
      <c r="E65" s="167">
        <f>SUM(F65:K65)</f>
        <v>1184</v>
      </c>
      <c r="F65" s="167">
        <v>256</v>
      </c>
      <c r="G65" s="167">
        <v>33</v>
      </c>
      <c r="H65" s="167">
        <v>105</v>
      </c>
      <c r="I65" s="167">
        <v>457</v>
      </c>
      <c r="J65" s="167">
        <v>40</v>
      </c>
      <c r="K65" s="167">
        <v>293</v>
      </c>
    </row>
    <row r="66" spans="1:12" s="86" customFormat="1" ht="12.95" customHeight="1" x14ac:dyDescent="0.2">
      <c r="A66" s="118"/>
      <c r="B66" s="58"/>
      <c r="C66" s="58"/>
      <c r="D66" s="162">
        <v>2017</v>
      </c>
      <c r="E66" s="167">
        <f t="shared" ref="E66" si="15">SUM(F66:K66)</f>
        <v>1013</v>
      </c>
      <c r="F66" s="167">
        <v>205</v>
      </c>
      <c r="G66" s="167">
        <v>39</v>
      </c>
      <c r="H66" s="167">
        <v>91</v>
      </c>
      <c r="I66" s="167">
        <v>398</v>
      </c>
      <c r="J66" s="167">
        <v>14</v>
      </c>
      <c r="K66" s="167">
        <v>266</v>
      </c>
    </row>
    <row r="67" spans="1:12" s="119" customFormat="1" ht="12.95" customHeight="1" x14ac:dyDescent="0.2">
      <c r="B67" s="58"/>
      <c r="C67" s="58"/>
      <c r="D67" s="162">
        <v>2018</v>
      </c>
      <c r="E67" s="167">
        <f>SUM(F67:K67)</f>
        <v>859</v>
      </c>
      <c r="F67" s="167">
        <v>234</v>
      </c>
      <c r="G67" s="167">
        <v>21</v>
      </c>
      <c r="H67" s="167">
        <v>64</v>
      </c>
      <c r="I67" s="167">
        <v>276</v>
      </c>
      <c r="J67" s="167">
        <v>42</v>
      </c>
      <c r="K67" s="167">
        <v>222</v>
      </c>
    </row>
    <row r="68" spans="1:12" s="119" customFormat="1" ht="8.1" customHeight="1" x14ac:dyDescent="0.2">
      <c r="B68" s="58"/>
      <c r="C68" s="58"/>
      <c r="D68" s="162"/>
      <c r="E68" s="167"/>
      <c r="F68" s="167"/>
      <c r="G68" s="167"/>
      <c r="H68" s="167"/>
      <c r="I68" s="167"/>
      <c r="J68" s="167"/>
      <c r="K68" s="167"/>
    </row>
    <row r="69" spans="1:12" s="53" customFormat="1" ht="12.95" customHeight="1" x14ac:dyDescent="0.2">
      <c r="B69" s="58" t="s">
        <v>116</v>
      </c>
      <c r="C69" s="58"/>
      <c r="D69" s="162">
        <v>2016</v>
      </c>
      <c r="E69" s="167">
        <f>SUM(F69:K69)</f>
        <v>1624</v>
      </c>
      <c r="F69" s="165">
        <v>166</v>
      </c>
      <c r="G69" s="167">
        <v>134</v>
      </c>
      <c r="H69" s="167">
        <v>258</v>
      </c>
      <c r="I69" s="167">
        <v>847</v>
      </c>
      <c r="J69" s="167" t="s">
        <v>51</v>
      </c>
      <c r="K69" s="167">
        <v>219</v>
      </c>
    </row>
    <row r="70" spans="1:12" s="53" customFormat="1" ht="12.95" customHeight="1" x14ac:dyDescent="0.2">
      <c r="B70" s="58"/>
      <c r="C70" s="58"/>
      <c r="D70" s="162">
        <v>2017</v>
      </c>
      <c r="E70" s="167">
        <f t="shared" ref="E70" si="16">SUM(F70:K70)</f>
        <v>1391</v>
      </c>
      <c r="F70" s="167">
        <v>92</v>
      </c>
      <c r="G70" s="167">
        <v>99</v>
      </c>
      <c r="H70" s="167">
        <v>184</v>
      </c>
      <c r="I70" s="167">
        <v>851</v>
      </c>
      <c r="J70" s="165" t="s">
        <v>51</v>
      </c>
      <c r="K70" s="167">
        <v>165</v>
      </c>
    </row>
    <row r="71" spans="1:12" s="53" customFormat="1" ht="12.95" customHeight="1" x14ac:dyDescent="0.2">
      <c r="A71" s="119"/>
      <c r="B71" s="58"/>
      <c r="C71" s="58"/>
      <c r="D71" s="162">
        <v>2018</v>
      </c>
      <c r="E71" s="167">
        <f>SUM(F71:K71)</f>
        <v>1261</v>
      </c>
      <c r="F71" s="165">
        <v>105</v>
      </c>
      <c r="G71" s="167">
        <v>85</v>
      </c>
      <c r="H71" s="167">
        <v>160</v>
      </c>
      <c r="I71" s="167">
        <v>729</v>
      </c>
      <c r="J71" s="167" t="s">
        <v>51</v>
      </c>
      <c r="K71" s="167">
        <v>182</v>
      </c>
    </row>
    <row r="72" spans="1:12" s="53" customFormat="1" ht="8.1" customHeight="1" x14ac:dyDescent="0.2">
      <c r="A72" s="119"/>
      <c r="B72" s="58"/>
      <c r="C72" s="58"/>
      <c r="D72" s="162"/>
      <c r="E72" s="167"/>
      <c r="F72" s="165"/>
      <c r="G72" s="167"/>
      <c r="H72" s="167"/>
      <c r="I72" s="167"/>
      <c r="J72" s="167"/>
      <c r="K72" s="167"/>
    </row>
    <row r="73" spans="1:12" s="53" customFormat="1" ht="12.95" customHeight="1" x14ac:dyDescent="0.2">
      <c r="B73" s="58" t="s">
        <v>117</v>
      </c>
      <c r="C73" s="58"/>
      <c r="D73" s="162">
        <v>2016</v>
      </c>
      <c r="E73" s="167">
        <f>SUM(F73:K73)</f>
        <v>1707</v>
      </c>
      <c r="F73" s="167">
        <v>439</v>
      </c>
      <c r="G73" s="167">
        <v>165</v>
      </c>
      <c r="H73" s="167">
        <v>205</v>
      </c>
      <c r="I73" s="167">
        <v>385</v>
      </c>
      <c r="J73" s="167">
        <v>57</v>
      </c>
      <c r="K73" s="167">
        <v>456</v>
      </c>
    </row>
    <row r="74" spans="1:12" s="53" customFormat="1" ht="12.95" customHeight="1" x14ac:dyDescent="0.2">
      <c r="B74" s="58"/>
      <c r="C74" s="58"/>
      <c r="D74" s="162">
        <v>2017</v>
      </c>
      <c r="E74" s="167">
        <f t="shared" ref="E74" si="17">SUM(F74:K74)</f>
        <v>1187</v>
      </c>
      <c r="F74" s="167">
        <v>289</v>
      </c>
      <c r="G74" s="167">
        <v>88</v>
      </c>
      <c r="H74" s="167">
        <v>149</v>
      </c>
      <c r="I74" s="167">
        <v>353</v>
      </c>
      <c r="J74" s="167">
        <v>22</v>
      </c>
      <c r="K74" s="167">
        <v>286</v>
      </c>
    </row>
    <row r="75" spans="1:12" s="53" customFormat="1" ht="12.95" customHeight="1" x14ac:dyDescent="0.2">
      <c r="A75" s="86"/>
      <c r="B75" s="58"/>
      <c r="C75" s="58"/>
      <c r="D75" s="162">
        <v>2018</v>
      </c>
      <c r="E75" s="167">
        <f>SUM(F75:K75)</f>
        <v>993</v>
      </c>
      <c r="F75" s="167">
        <v>207</v>
      </c>
      <c r="G75" s="167">
        <v>69</v>
      </c>
      <c r="H75" s="374">
        <v>142</v>
      </c>
      <c r="I75" s="167">
        <v>290</v>
      </c>
      <c r="J75" s="374">
        <v>9</v>
      </c>
      <c r="K75" s="374">
        <v>276</v>
      </c>
      <c r="L75" s="119"/>
    </row>
    <row r="76" spans="1:12" s="53" customFormat="1" ht="8.1" customHeight="1" thickBot="1" x14ac:dyDescent="0.25">
      <c r="A76" s="302"/>
      <c r="B76" s="60"/>
      <c r="C76" s="60"/>
      <c r="D76" s="141"/>
      <c r="E76" s="61"/>
      <c r="F76" s="212"/>
      <c r="G76" s="212"/>
      <c r="H76" s="300"/>
      <c r="I76" s="212"/>
      <c r="J76" s="300"/>
      <c r="K76" s="300"/>
      <c r="L76" s="219"/>
    </row>
    <row r="77" spans="1:12" x14ac:dyDescent="0.25">
      <c r="B77" s="266"/>
      <c r="C77" s="266"/>
      <c r="D77" s="266"/>
      <c r="E77" s="206"/>
      <c r="F77" s="207"/>
      <c r="G77" s="7"/>
      <c r="H77" s="7"/>
      <c r="I77" s="268"/>
      <c r="J77" s="208"/>
      <c r="K77" s="8" t="s">
        <v>101</v>
      </c>
    </row>
    <row r="78" spans="1:12" x14ac:dyDescent="0.25">
      <c r="B78" s="7"/>
      <c r="C78" s="7"/>
      <c r="D78" s="7"/>
      <c r="E78" s="269"/>
      <c r="F78" s="267"/>
      <c r="G78" s="266"/>
      <c r="H78" s="266"/>
      <c r="I78" s="267"/>
      <c r="J78" s="207"/>
      <c r="K78" s="41" t="s">
        <v>1</v>
      </c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9" fitToWidth="0" orientation="portrait" r:id="rId1"/>
  <headerFooter>
    <oddHeader xml:space="preserve">&amp;R&amp;"-,Bold"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showGridLines="0" tabSelected="1" zoomScale="80" zoomScaleNormal="80" zoomScaleSheetLayoutView="100" workbookViewId="0">
      <selection activeCell="J23" sqref="J23"/>
    </sheetView>
  </sheetViews>
  <sheetFormatPr defaultRowHeight="15" x14ac:dyDescent="0.25"/>
  <cols>
    <col min="1" max="1" width="1.7109375" style="2" customWidth="1"/>
    <col min="2" max="2" width="10.140625" style="3" customWidth="1"/>
    <col min="3" max="3" width="8.5703125" style="3" customWidth="1"/>
    <col min="4" max="4" width="9.85546875" style="3" customWidth="1"/>
    <col min="5" max="5" width="10.5703125" style="4" customWidth="1"/>
    <col min="6" max="6" width="11.7109375" style="5" customWidth="1"/>
    <col min="7" max="7" width="11" style="5" customWidth="1"/>
    <col min="8" max="8" width="11.7109375" style="209" customWidth="1"/>
    <col min="9" max="9" width="12.28515625" style="5" customWidth="1"/>
    <col min="10" max="10" width="10.28515625" style="2" customWidth="1"/>
    <col min="11" max="11" width="11.7109375" style="2" customWidth="1"/>
    <col min="12" max="12" width="1.1406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55.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96"/>
      <c r="E12" s="286"/>
      <c r="F12" s="287"/>
      <c r="G12" s="286"/>
      <c r="H12" s="286"/>
      <c r="I12" s="286"/>
      <c r="J12" s="287"/>
      <c r="K12" s="286"/>
    </row>
    <row r="13" spans="1:12" s="119" customFormat="1" ht="17.100000000000001" customHeight="1" x14ac:dyDescent="0.2">
      <c r="A13" s="53"/>
      <c r="B13" s="64" t="s">
        <v>118</v>
      </c>
      <c r="C13" s="127"/>
      <c r="D13" s="65">
        <v>2016</v>
      </c>
      <c r="E13" s="166">
        <f>SUM(F13:K13)</f>
        <v>2087</v>
      </c>
      <c r="F13" s="166">
        <f>SUM(F17,F21,F25,F29,F33,F37,F41)</f>
        <v>452</v>
      </c>
      <c r="G13" s="166">
        <f t="shared" ref="G13:K13" si="0">SUM(G17,G21,G25,G29,G33,G37,G41)</f>
        <v>28</v>
      </c>
      <c r="H13" s="166">
        <f t="shared" si="0"/>
        <v>203</v>
      </c>
      <c r="I13" s="166">
        <f t="shared" si="0"/>
        <v>949</v>
      </c>
      <c r="J13" s="166">
        <f t="shared" si="0"/>
        <v>8</v>
      </c>
      <c r="K13" s="166">
        <f t="shared" si="0"/>
        <v>447</v>
      </c>
    </row>
    <row r="14" spans="1:12" s="119" customFormat="1" ht="17.100000000000001" customHeight="1" x14ac:dyDescent="0.2">
      <c r="A14" s="53"/>
      <c r="B14" s="127"/>
      <c r="C14" s="127"/>
      <c r="D14" s="65">
        <v>2017</v>
      </c>
      <c r="E14" s="166">
        <f t="shared" ref="E14" si="1">SUM(F14:K14)</f>
        <v>1903</v>
      </c>
      <c r="F14" s="166">
        <f t="shared" ref="F14:K15" si="2">SUM(F18,F22,F26,F30,F34,F38,F42)</f>
        <v>456</v>
      </c>
      <c r="G14" s="166">
        <f t="shared" si="2"/>
        <v>22</v>
      </c>
      <c r="H14" s="166">
        <f t="shared" si="2"/>
        <v>146</v>
      </c>
      <c r="I14" s="166">
        <f t="shared" si="2"/>
        <v>914</v>
      </c>
      <c r="J14" s="143" t="s">
        <v>51</v>
      </c>
      <c r="K14" s="166">
        <f t="shared" si="2"/>
        <v>365</v>
      </c>
    </row>
    <row r="15" spans="1:12" s="119" customFormat="1" ht="17.100000000000001" customHeight="1" x14ac:dyDescent="0.2">
      <c r="A15" s="53"/>
      <c r="B15" s="127"/>
      <c r="C15" s="127"/>
      <c r="D15" s="65">
        <v>2018</v>
      </c>
      <c r="E15" s="166">
        <f>SUM(F15:K15)</f>
        <v>1532</v>
      </c>
      <c r="F15" s="166">
        <f t="shared" si="2"/>
        <v>420</v>
      </c>
      <c r="G15" s="166">
        <f t="shared" si="2"/>
        <v>10</v>
      </c>
      <c r="H15" s="166">
        <f t="shared" si="2"/>
        <v>77</v>
      </c>
      <c r="I15" s="166">
        <f t="shared" si="2"/>
        <v>605</v>
      </c>
      <c r="J15" s="166">
        <f t="shared" si="2"/>
        <v>1</v>
      </c>
      <c r="K15" s="166">
        <f t="shared" si="2"/>
        <v>419</v>
      </c>
      <c r="L15" s="196">
        <f t="shared" ref="L15" si="3">L19+L23+L27+L31+L35+L39+L43</f>
        <v>0</v>
      </c>
    </row>
    <row r="16" spans="1:12" s="119" customFormat="1" ht="15" customHeight="1" x14ac:dyDescent="0.2">
      <c r="A16" s="53"/>
      <c r="B16" s="127"/>
      <c r="C16" s="127"/>
      <c r="D16" s="65"/>
      <c r="E16" s="166"/>
      <c r="F16" s="166"/>
      <c r="G16" s="166"/>
      <c r="H16" s="166"/>
      <c r="I16" s="166"/>
      <c r="J16" s="166"/>
      <c r="K16" s="166"/>
    </row>
    <row r="17" spans="1:11" s="119" customFormat="1" ht="17.100000000000001" customHeight="1" x14ac:dyDescent="0.2">
      <c r="A17" s="53"/>
      <c r="B17" s="58" t="s">
        <v>119</v>
      </c>
      <c r="C17" s="85"/>
      <c r="D17" s="162">
        <v>2016</v>
      </c>
      <c r="E17" s="167">
        <f>SUM(F17:K17)</f>
        <v>411</v>
      </c>
      <c r="F17" s="167">
        <v>80</v>
      </c>
      <c r="G17" s="167">
        <v>3</v>
      </c>
      <c r="H17" s="167">
        <v>47</v>
      </c>
      <c r="I17" s="167">
        <v>223</v>
      </c>
      <c r="J17" s="165">
        <v>4</v>
      </c>
      <c r="K17" s="167">
        <v>54</v>
      </c>
    </row>
    <row r="18" spans="1:11" s="119" customFormat="1" ht="17.100000000000001" customHeight="1" x14ac:dyDescent="0.2">
      <c r="B18" s="58"/>
      <c r="C18" s="85"/>
      <c r="D18" s="162">
        <v>2017</v>
      </c>
      <c r="E18" s="167">
        <f t="shared" ref="E18" si="4">SUM(F18:K18)</f>
        <v>396</v>
      </c>
      <c r="F18" s="167">
        <v>80</v>
      </c>
      <c r="G18" s="167">
        <v>4</v>
      </c>
      <c r="H18" s="167">
        <v>50</v>
      </c>
      <c r="I18" s="167">
        <v>221</v>
      </c>
      <c r="J18" s="167" t="s">
        <v>51</v>
      </c>
      <c r="K18" s="167">
        <v>41</v>
      </c>
    </row>
    <row r="19" spans="1:11" s="119" customFormat="1" ht="17.100000000000001" customHeight="1" x14ac:dyDescent="0.2">
      <c r="B19" s="281"/>
      <c r="C19" s="58"/>
      <c r="D19" s="162">
        <v>2018</v>
      </c>
      <c r="E19" s="167">
        <f>SUM(F19:K19)</f>
        <v>302</v>
      </c>
      <c r="F19" s="167">
        <v>92</v>
      </c>
      <c r="G19" s="167">
        <v>1</v>
      </c>
      <c r="H19" s="167">
        <v>21</v>
      </c>
      <c r="I19" s="167">
        <v>145</v>
      </c>
      <c r="J19" s="167" t="s">
        <v>51</v>
      </c>
      <c r="K19" s="167">
        <v>43</v>
      </c>
    </row>
    <row r="20" spans="1:11" s="119" customFormat="1" ht="15" customHeight="1" x14ac:dyDescent="0.2">
      <c r="B20" s="281"/>
      <c r="C20" s="58"/>
      <c r="D20" s="162"/>
      <c r="E20" s="167"/>
      <c r="F20" s="167"/>
      <c r="G20" s="167"/>
      <c r="H20" s="167"/>
      <c r="I20" s="167"/>
      <c r="J20" s="167"/>
      <c r="K20" s="167"/>
    </row>
    <row r="21" spans="1:11" s="119" customFormat="1" ht="17.100000000000001" customHeight="1" x14ac:dyDescent="0.2">
      <c r="A21" s="53"/>
      <c r="B21" s="58" t="s">
        <v>120</v>
      </c>
      <c r="C21" s="85"/>
      <c r="D21" s="162">
        <v>2016</v>
      </c>
      <c r="E21" s="167">
        <f>SUM(F21:K21)</f>
        <v>295</v>
      </c>
      <c r="F21" s="165">
        <v>80</v>
      </c>
      <c r="G21" s="165">
        <v>6</v>
      </c>
      <c r="H21" s="167">
        <v>7</v>
      </c>
      <c r="I21" s="165">
        <v>126</v>
      </c>
      <c r="J21" s="165" t="s">
        <v>51</v>
      </c>
      <c r="K21" s="167">
        <v>76</v>
      </c>
    </row>
    <row r="22" spans="1:11" s="119" customFormat="1" ht="17.100000000000001" customHeight="1" x14ac:dyDescent="0.2">
      <c r="B22" s="58"/>
      <c r="C22" s="85"/>
      <c r="D22" s="162">
        <v>2017</v>
      </c>
      <c r="E22" s="167">
        <f t="shared" ref="E22" si="5">SUM(F22:K22)</f>
        <v>263</v>
      </c>
      <c r="F22" s="167">
        <v>69</v>
      </c>
      <c r="G22" s="167">
        <v>3</v>
      </c>
      <c r="H22" s="167">
        <v>9</v>
      </c>
      <c r="I22" s="167">
        <v>121</v>
      </c>
      <c r="J22" s="165" t="s">
        <v>51</v>
      </c>
      <c r="K22" s="167">
        <v>61</v>
      </c>
    </row>
    <row r="23" spans="1:11" s="86" customFormat="1" ht="17.100000000000001" customHeight="1" x14ac:dyDescent="0.2">
      <c r="A23" s="119"/>
      <c r="B23" s="281"/>
      <c r="C23" s="58"/>
      <c r="D23" s="162">
        <v>2018</v>
      </c>
      <c r="E23" s="167">
        <f>SUM(F23:K23)</f>
        <v>243</v>
      </c>
      <c r="F23" s="165">
        <v>62</v>
      </c>
      <c r="G23" s="167">
        <v>2</v>
      </c>
      <c r="H23" s="167">
        <v>8</v>
      </c>
      <c r="I23" s="165">
        <v>97</v>
      </c>
      <c r="J23" s="167" t="s">
        <v>51</v>
      </c>
      <c r="K23" s="167">
        <v>74</v>
      </c>
    </row>
    <row r="24" spans="1:11" s="86" customFormat="1" ht="15" customHeight="1" x14ac:dyDescent="0.2">
      <c r="A24" s="119"/>
      <c r="B24" s="281"/>
      <c r="C24" s="58"/>
      <c r="D24" s="162"/>
      <c r="E24" s="167"/>
      <c r="F24" s="165"/>
      <c r="G24" s="167"/>
      <c r="H24" s="167"/>
      <c r="I24" s="165"/>
      <c r="J24" s="167"/>
      <c r="K24" s="167"/>
    </row>
    <row r="25" spans="1:11" s="119" customFormat="1" ht="17.100000000000001" customHeight="1" x14ac:dyDescent="0.2">
      <c r="A25" s="53"/>
      <c r="B25" s="58" t="s">
        <v>121</v>
      </c>
      <c r="C25" s="85"/>
      <c r="D25" s="162">
        <v>2016</v>
      </c>
      <c r="E25" s="167">
        <f>SUM(F25:K25)</f>
        <v>129</v>
      </c>
      <c r="F25" s="167">
        <v>43</v>
      </c>
      <c r="G25" s="167">
        <v>2</v>
      </c>
      <c r="H25" s="167">
        <v>13</v>
      </c>
      <c r="I25" s="167">
        <v>48</v>
      </c>
      <c r="J25" s="167" t="s">
        <v>51</v>
      </c>
      <c r="K25" s="167">
        <v>23</v>
      </c>
    </row>
    <row r="26" spans="1:11" s="53" customFormat="1" ht="17.100000000000001" customHeight="1" x14ac:dyDescent="0.2">
      <c r="B26" s="58"/>
      <c r="C26" s="85"/>
      <c r="D26" s="162">
        <v>2017</v>
      </c>
      <c r="E26" s="167">
        <f t="shared" ref="E26" si="6">SUM(F26:K26)</f>
        <v>123</v>
      </c>
      <c r="F26" s="167">
        <v>45</v>
      </c>
      <c r="G26" s="167">
        <v>5</v>
      </c>
      <c r="H26" s="167">
        <v>3</v>
      </c>
      <c r="I26" s="167">
        <v>46</v>
      </c>
      <c r="J26" s="165" t="s">
        <v>51</v>
      </c>
      <c r="K26" s="167">
        <v>24</v>
      </c>
    </row>
    <row r="27" spans="1:11" s="53" customFormat="1" ht="17.100000000000001" customHeight="1" x14ac:dyDescent="0.2">
      <c r="A27" s="119"/>
      <c r="B27" s="281"/>
      <c r="C27" s="58"/>
      <c r="D27" s="162">
        <v>2018</v>
      </c>
      <c r="E27" s="167">
        <f>SUM(F27:K27)</f>
        <v>77</v>
      </c>
      <c r="F27" s="167">
        <v>17</v>
      </c>
      <c r="G27" s="167" t="s">
        <v>51</v>
      </c>
      <c r="H27" s="167">
        <v>3</v>
      </c>
      <c r="I27" s="167">
        <v>32</v>
      </c>
      <c r="J27" s="167" t="s">
        <v>51</v>
      </c>
      <c r="K27" s="167">
        <v>25</v>
      </c>
    </row>
    <row r="28" spans="1:11" s="53" customFormat="1" ht="15" customHeight="1" x14ac:dyDescent="0.2">
      <c r="A28" s="119"/>
      <c r="B28" s="281"/>
      <c r="C28" s="58"/>
      <c r="D28" s="162"/>
      <c r="E28" s="167"/>
      <c r="F28" s="167"/>
      <c r="G28" s="167"/>
      <c r="H28" s="167"/>
      <c r="I28" s="167"/>
      <c r="J28" s="167"/>
      <c r="K28" s="167"/>
    </row>
    <row r="29" spans="1:11" s="53" customFormat="1" ht="17.100000000000001" customHeight="1" x14ac:dyDescent="0.2">
      <c r="A29" s="118"/>
      <c r="B29" s="58" t="s">
        <v>122</v>
      </c>
      <c r="C29" s="85"/>
      <c r="D29" s="162">
        <v>2016</v>
      </c>
      <c r="E29" s="167">
        <f>SUM(F29:K29)</f>
        <v>357</v>
      </c>
      <c r="F29" s="167">
        <v>46</v>
      </c>
      <c r="G29" s="167">
        <v>7</v>
      </c>
      <c r="H29" s="167">
        <v>30</v>
      </c>
      <c r="I29" s="167">
        <v>179</v>
      </c>
      <c r="J29" s="167" t="s">
        <v>51</v>
      </c>
      <c r="K29" s="167">
        <v>95</v>
      </c>
    </row>
    <row r="30" spans="1:11" s="53" customFormat="1" ht="17.100000000000001" customHeight="1" x14ac:dyDescent="0.2">
      <c r="B30" s="58"/>
      <c r="C30" s="85"/>
      <c r="D30" s="162">
        <v>2017</v>
      </c>
      <c r="E30" s="167">
        <f t="shared" ref="E30" si="7">SUM(F30:K30)</f>
        <v>286</v>
      </c>
      <c r="F30" s="167">
        <v>45</v>
      </c>
      <c r="G30" s="167">
        <v>2</v>
      </c>
      <c r="H30" s="167">
        <v>25</v>
      </c>
      <c r="I30" s="167">
        <v>165</v>
      </c>
      <c r="J30" s="165" t="s">
        <v>51</v>
      </c>
      <c r="K30" s="167">
        <v>49</v>
      </c>
    </row>
    <row r="31" spans="1:11" s="53" customFormat="1" ht="17.100000000000001" customHeight="1" x14ac:dyDescent="0.2">
      <c r="A31" s="119"/>
      <c r="B31" s="281"/>
      <c r="C31" s="58"/>
      <c r="D31" s="162">
        <v>2018</v>
      </c>
      <c r="E31" s="167">
        <f>SUM(F31:K31)</f>
        <v>226</v>
      </c>
      <c r="F31" s="167">
        <v>49</v>
      </c>
      <c r="G31" s="167">
        <v>2</v>
      </c>
      <c r="H31" s="167">
        <v>4</v>
      </c>
      <c r="I31" s="167">
        <v>104</v>
      </c>
      <c r="J31" s="167" t="s">
        <v>51</v>
      </c>
      <c r="K31" s="167">
        <v>67</v>
      </c>
    </row>
    <row r="32" spans="1:11" s="53" customFormat="1" ht="15" customHeight="1" x14ac:dyDescent="0.2">
      <c r="A32" s="119"/>
      <c r="B32" s="281"/>
      <c r="C32" s="58"/>
      <c r="D32" s="162"/>
      <c r="E32" s="167"/>
      <c r="F32" s="167"/>
      <c r="G32" s="167"/>
      <c r="H32" s="167"/>
      <c r="I32" s="167"/>
      <c r="J32" s="167"/>
      <c r="K32" s="167"/>
    </row>
    <row r="33" spans="1:14" s="53" customFormat="1" ht="17.100000000000001" customHeight="1" x14ac:dyDescent="0.2">
      <c r="B33" s="58" t="s">
        <v>123</v>
      </c>
      <c r="C33" s="85"/>
      <c r="D33" s="162">
        <v>2016</v>
      </c>
      <c r="E33" s="167">
        <f>SUM(F33:K33)</f>
        <v>652</v>
      </c>
      <c r="F33" s="167">
        <v>154</v>
      </c>
      <c r="G33" s="167">
        <v>7</v>
      </c>
      <c r="H33" s="167">
        <v>80</v>
      </c>
      <c r="I33" s="167">
        <v>273</v>
      </c>
      <c r="J33" s="165">
        <v>3</v>
      </c>
      <c r="K33" s="167">
        <v>135</v>
      </c>
    </row>
    <row r="34" spans="1:14" s="53" customFormat="1" ht="17.100000000000001" customHeight="1" x14ac:dyDescent="0.2">
      <c r="B34" s="58"/>
      <c r="C34" s="85"/>
      <c r="D34" s="162">
        <v>2017</v>
      </c>
      <c r="E34" s="167">
        <f t="shared" ref="E34" si="8">SUM(F34:K34)</f>
        <v>604</v>
      </c>
      <c r="F34" s="167">
        <v>141</v>
      </c>
      <c r="G34" s="167">
        <v>7</v>
      </c>
      <c r="H34" s="167">
        <v>45</v>
      </c>
      <c r="I34" s="167">
        <v>267</v>
      </c>
      <c r="J34" s="167" t="s">
        <v>51</v>
      </c>
      <c r="K34" s="167">
        <v>144</v>
      </c>
    </row>
    <row r="35" spans="1:14" s="53" customFormat="1" ht="17.100000000000001" customHeight="1" x14ac:dyDescent="0.2">
      <c r="A35" s="119"/>
      <c r="B35" s="281"/>
      <c r="C35" s="58"/>
      <c r="D35" s="162">
        <v>2018</v>
      </c>
      <c r="E35" s="167">
        <f>SUM(F35:K35)</f>
        <v>487</v>
      </c>
      <c r="F35" s="167">
        <v>127</v>
      </c>
      <c r="G35" s="167">
        <v>3</v>
      </c>
      <c r="H35" s="167">
        <v>35</v>
      </c>
      <c r="I35" s="167">
        <v>172</v>
      </c>
      <c r="J35" s="167" t="s">
        <v>51</v>
      </c>
      <c r="K35" s="167">
        <v>150</v>
      </c>
    </row>
    <row r="36" spans="1:14" s="53" customFormat="1" ht="15" customHeight="1" x14ac:dyDescent="0.2">
      <c r="A36" s="119"/>
      <c r="B36" s="281"/>
      <c r="C36" s="58"/>
      <c r="D36" s="162"/>
      <c r="E36" s="167"/>
      <c r="F36" s="167"/>
      <c r="G36" s="167"/>
      <c r="H36" s="167"/>
      <c r="I36" s="167"/>
      <c r="J36" s="167"/>
      <c r="K36" s="167"/>
    </row>
    <row r="37" spans="1:14" s="53" customFormat="1" ht="17.100000000000001" customHeight="1" x14ac:dyDescent="0.2">
      <c r="B37" s="58" t="s">
        <v>124</v>
      </c>
      <c r="C37" s="85"/>
      <c r="D37" s="162">
        <v>2016</v>
      </c>
      <c r="E37" s="167">
        <f>SUM(F37:K37)</f>
        <v>148</v>
      </c>
      <c r="F37" s="167">
        <v>35</v>
      </c>
      <c r="G37" s="167">
        <v>1</v>
      </c>
      <c r="H37" s="167">
        <v>8</v>
      </c>
      <c r="I37" s="167">
        <v>59</v>
      </c>
      <c r="J37" s="167">
        <v>1</v>
      </c>
      <c r="K37" s="167">
        <v>44</v>
      </c>
    </row>
    <row r="38" spans="1:14" s="53" customFormat="1" ht="17.100000000000001" customHeight="1" x14ac:dyDescent="0.2">
      <c r="B38" s="58"/>
      <c r="C38" s="85"/>
      <c r="D38" s="162">
        <v>2017</v>
      </c>
      <c r="E38" s="167">
        <f t="shared" ref="E38" si="9">SUM(F38:K38)</f>
        <v>143</v>
      </c>
      <c r="F38" s="167">
        <v>60</v>
      </c>
      <c r="G38" s="167" t="s">
        <v>51</v>
      </c>
      <c r="H38" s="167">
        <v>3</v>
      </c>
      <c r="I38" s="167">
        <v>54</v>
      </c>
      <c r="J38" s="167" t="s">
        <v>51</v>
      </c>
      <c r="K38" s="167">
        <v>26</v>
      </c>
    </row>
    <row r="39" spans="1:14" s="118" customFormat="1" ht="17.100000000000001" customHeight="1" x14ac:dyDescent="0.2">
      <c r="A39" s="119"/>
      <c r="B39" s="281"/>
      <c r="C39" s="58"/>
      <c r="D39" s="162">
        <v>2018</v>
      </c>
      <c r="E39" s="167">
        <f>SUM(F39:K39)</f>
        <v>114</v>
      </c>
      <c r="F39" s="167">
        <v>50</v>
      </c>
      <c r="G39" s="165">
        <v>1</v>
      </c>
      <c r="H39" s="167">
        <v>2</v>
      </c>
      <c r="I39" s="167">
        <v>39</v>
      </c>
      <c r="J39" s="165">
        <v>1</v>
      </c>
      <c r="K39" s="167">
        <v>21</v>
      </c>
      <c r="L39" s="53"/>
      <c r="M39" s="53"/>
      <c r="N39" s="53"/>
    </row>
    <row r="40" spans="1:14" s="118" customFormat="1" ht="15" customHeight="1" x14ac:dyDescent="0.2">
      <c r="A40" s="119"/>
      <c r="B40" s="281"/>
      <c r="C40" s="58"/>
      <c r="D40" s="162"/>
      <c r="E40" s="167"/>
      <c r="F40" s="167"/>
      <c r="G40" s="167"/>
      <c r="H40" s="167"/>
      <c r="I40" s="167"/>
      <c r="J40" s="167"/>
      <c r="K40" s="167"/>
      <c r="L40" s="53"/>
      <c r="M40" s="53"/>
      <c r="N40" s="53"/>
    </row>
    <row r="41" spans="1:14" s="53" customFormat="1" ht="17.100000000000001" customHeight="1" x14ac:dyDescent="0.2">
      <c r="B41" s="58" t="s">
        <v>125</v>
      </c>
      <c r="C41" s="85"/>
      <c r="D41" s="162">
        <v>2016</v>
      </c>
      <c r="E41" s="167">
        <f>SUM(F41:K41)</f>
        <v>95</v>
      </c>
      <c r="F41" s="167">
        <v>14</v>
      </c>
      <c r="G41" s="167">
        <v>2</v>
      </c>
      <c r="H41" s="167">
        <v>18</v>
      </c>
      <c r="I41" s="167">
        <v>41</v>
      </c>
      <c r="J41" s="165" t="s">
        <v>51</v>
      </c>
      <c r="K41" s="167">
        <v>20</v>
      </c>
    </row>
    <row r="42" spans="1:14" s="53" customFormat="1" ht="17.100000000000001" customHeight="1" x14ac:dyDescent="0.2">
      <c r="B42" s="58"/>
      <c r="C42" s="85"/>
      <c r="D42" s="162">
        <v>2017</v>
      </c>
      <c r="E42" s="167">
        <f t="shared" ref="E42" si="10">SUM(F42:K42)</f>
        <v>88</v>
      </c>
      <c r="F42" s="167">
        <v>16</v>
      </c>
      <c r="G42" s="167">
        <v>1</v>
      </c>
      <c r="H42" s="167">
        <v>11</v>
      </c>
      <c r="I42" s="167">
        <v>40</v>
      </c>
      <c r="J42" s="165" t="s">
        <v>51</v>
      </c>
      <c r="K42" s="167">
        <v>20</v>
      </c>
    </row>
    <row r="43" spans="1:14" s="53" customFormat="1" ht="17.100000000000001" customHeight="1" x14ac:dyDescent="0.2">
      <c r="B43" s="281"/>
      <c r="C43" s="58"/>
      <c r="D43" s="162">
        <v>2018</v>
      </c>
      <c r="E43" s="167">
        <f>SUM(F43:K43)</f>
        <v>83</v>
      </c>
      <c r="F43" s="167">
        <v>23</v>
      </c>
      <c r="G43" s="167">
        <v>1</v>
      </c>
      <c r="H43" s="167">
        <v>4</v>
      </c>
      <c r="I43" s="167">
        <v>16</v>
      </c>
      <c r="J43" s="167" t="s">
        <v>51</v>
      </c>
      <c r="K43" s="167">
        <v>39</v>
      </c>
      <c r="L43" s="119"/>
    </row>
    <row r="44" spans="1:14" s="53" customFormat="1" ht="8.1" customHeight="1" thickBot="1" x14ac:dyDescent="0.25">
      <c r="A44" s="219"/>
      <c r="B44" s="282"/>
      <c r="C44" s="60"/>
      <c r="D44" s="289"/>
      <c r="E44" s="61"/>
      <c r="F44" s="61"/>
      <c r="G44" s="61"/>
      <c r="H44" s="61"/>
      <c r="I44" s="61"/>
      <c r="J44" s="61"/>
      <c r="K44" s="61"/>
      <c r="L44" s="219"/>
    </row>
    <row r="45" spans="1:14" ht="21" customHeight="1" x14ac:dyDescent="0.25">
      <c r="B45" s="266"/>
      <c r="C45" s="266"/>
      <c r="D45" s="266"/>
      <c r="E45" s="269"/>
      <c r="F45" s="399"/>
      <c r="G45" s="399"/>
      <c r="H45" s="399"/>
      <c r="I45" s="410"/>
      <c r="J45" s="399"/>
      <c r="K45" s="175" t="s">
        <v>101</v>
      </c>
    </row>
    <row r="46" spans="1:14" x14ac:dyDescent="0.25">
      <c r="B46" s="7"/>
      <c r="C46" s="7"/>
      <c r="D46" s="7"/>
      <c r="E46" s="269"/>
      <c r="F46" s="399"/>
      <c r="G46" s="399"/>
      <c r="H46" s="399"/>
      <c r="I46" s="399"/>
      <c r="J46" s="399"/>
      <c r="K46" s="176" t="s">
        <v>1</v>
      </c>
    </row>
    <row r="47" spans="1:14" x14ac:dyDescent="0.25">
      <c r="E47" s="21"/>
      <c r="F47" s="174"/>
      <c r="G47" s="174"/>
      <c r="H47" s="174"/>
      <c r="I47" s="174"/>
      <c r="J47" s="174"/>
      <c r="K47" s="174"/>
    </row>
    <row r="48" spans="1:14" x14ac:dyDescent="0.25">
      <c r="E48" s="21"/>
      <c r="F48" s="174"/>
      <c r="G48" s="174"/>
      <c r="H48" s="174"/>
      <c r="I48" s="174"/>
      <c r="J48" s="174"/>
      <c r="K48" s="174"/>
    </row>
    <row r="49" spans="5:11" x14ac:dyDescent="0.25">
      <c r="E49" s="21"/>
      <c r="F49" s="174"/>
      <c r="G49" s="174"/>
      <c r="H49" s="174"/>
      <c r="I49" s="174"/>
      <c r="J49" s="174"/>
      <c r="K49" s="174"/>
    </row>
    <row r="50" spans="5:11" x14ac:dyDescent="0.25">
      <c r="E50" s="21"/>
      <c r="F50" s="174"/>
      <c r="G50" s="174"/>
      <c r="H50" s="174"/>
      <c r="I50" s="174"/>
      <c r="J50" s="174"/>
      <c r="K50" s="174"/>
    </row>
    <row r="51" spans="5:11" x14ac:dyDescent="0.25">
      <c r="E51" s="21"/>
      <c r="F51" s="174"/>
      <c r="G51" s="174"/>
      <c r="H51" s="174"/>
      <c r="I51" s="174"/>
      <c r="J51" s="174"/>
      <c r="K51" s="174"/>
    </row>
    <row r="52" spans="5:11" x14ac:dyDescent="0.25">
      <c r="E52" s="21"/>
      <c r="F52" s="174"/>
      <c r="G52" s="174"/>
      <c r="H52" s="174"/>
      <c r="I52" s="174"/>
      <c r="J52" s="174"/>
      <c r="K52" s="174"/>
    </row>
    <row r="53" spans="5:11" x14ac:dyDescent="0.25">
      <c r="E53" s="21"/>
      <c r="F53" s="174"/>
      <c r="G53" s="174"/>
      <c r="H53" s="174"/>
      <c r="I53" s="174"/>
      <c r="J53" s="174"/>
      <c r="K53" s="174"/>
    </row>
    <row r="54" spans="5:11" x14ac:dyDescent="0.25">
      <c r="E54" s="21"/>
      <c r="F54" s="174"/>
      <c r="G54" s="174"/>
      <c r="H54" s="174"/>
      <c r="I54" s="174"/>
      <c r="J54" s="174"/>
      <c r="K54" s="174"/>
    </row>
    <row r="55" spans="5:11" x14ac:dyDescent="0.25">
      <c r="E55" s="21"/>
      <c r="F55" s="174"/>
      <c r="G55" s="174"/>
      <c r="H55" s="174"/>
      <c r="I55" s="174"/>
      <c r="J55" s="174"/>
      <c r="K55" s="174"/>
    </row>
    <row r="56" spans="5:11" x14ac:dyDescent="0.25">
      <c r="F56" s="401"/>
      <c r="G56" s="401"/>
      <c r="H56" s="402"/>
      <c r="I56" s="401"/>
      <c r="J56" s="15"/>
      <c r="K56" s="15"/>
    </row>
    <row r="57" spans="5:11" x14ac:dyDescent="0.25">
      <c r="F57" s="401"/>
      <c r="G57" s="401"/>
      <c r="H57" s="402"/>
      <c r="I57" s="401"/>
      <c r="J57" s="15"/>
      <c r="K57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7"/>
  <sheetViews>
    <sheetView showGridLines="0" tabSelected="1" topLeftCell="A4" zoomScale="80" zoomScaleNormal="80" zoomScaleSheetLayoutView="100" workbookViewId="0">
      <selection activeCell="J23" sqref="J23"/>
    </sheetView>
  </sheetViews>
  <sheetFormatPr defaultRowHeight="15" x14ac:dyDescent="0.25"/>
  <cols>
    <col min="1" max="1" width="1.7109375" style="2" customWidth="1"/>
    <col min="2" max="2" width="10" style="3" customWidth="1"/>
    <col min="3" max="4" width="11" style="3" customWidth="1"/>
    <col min="5" max="5" width="10.140625" style="4" customWidth="1"/>
    <col min="6" max="7" width="10.5703125" style="5" customWidth="1"/>
    <col min="8" max="8" width="11.7109375" style="209" customWidth="1"/>
    <col min="9" max="9" width="12.28515625" style="5" customWidth="1"/>
    <col min="10" max="10" width="10.28515625" style="2" customWidth="1"/>
    <col min="11" max="11" width="11.14062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81" t="s">
        <v>182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71" t="s">
        <v>183</v>
      </c>
    </row>
    <row r="3" spans="1:12" s="30" customFormat="1" ht="12" customHeight="1" x14ac:dyDescent="0.25">
      <c r="B3" s="27"/>
      <c r="C3" s="27"/>
      <c r="D3" s="29"/>
      <c r="E3" s="28"/>
      <c r="F3" s="29"/>
      <c r="G3" s="71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71"/>
      <c r="J4" s="29"/>
    </row>
    <row r="5" spans="1:12" s="53" customFormat="1" ht="9.9499999999999993" customHeight="1" x14ac:dyDescent="0.2">
      <c r="B5" s="118"/>
      <c r="C5" s="118"/>
      <c r="D5" s="213"/>
      <c r="E5" s="214"/>
      <c r="F5" s="213"/>
      <c r="G5" s="213"/>
      <c r="H5" s="215"/>
      <c r="I5" s="213"/>
      <c r="J5" s="117"/>
    </row>
    <row r="6" spans="1:12" s="53" customFormat="1" ht="15" customHeight="1" x14ac:dyDescent="0.2">
      <c r="B6" s="66" t="s">
        <v>232</v>
      </c>
      <c r="C6" s="67" t="s">
        <v>225</v>
      </c>
      <c r="D6" s="213"/>
      <c r="E6" s="214"/>
      <c r="F6" s="67"/>
      <c r="G6" s="67"/>
      <c r="H6" s="67"/>
      <c r="I6" s="67"/>
      <c r="J6" s="82"/>
      <c r="K6" s="67"/>
      <c r="L6" s="203"/>
    </row>
    <row r="7" spans="1:12" s="53" customFormat="1" ht="18" customHeight="1" x14ac:dyDescent="0.2">
      <c r="B7" s="83" t="s">
        <v>233</v>
      </c>
      <c r="C7" s="89" t="s">
        <v>226</v>
      </c>
      <c r="D7" s="213"/>
      <c r="E7" s="214"/>
      <c r="F7" s="89"/>
      <c r="G7" s="89"/>
      <c r="H7" s="89"/>
      <c r="I7" s="89"/>
      <c r="J7" s="262"/>
      <c r="K7" s="89"/>
      <c r="L7" s="204"/>
    </row>
    <row r="8" spans="1:12" s="53" customFormat="1" ht="8.1" customHeight="1" thickBot="1" x14ac:dyDescent="0.25">
      <c r="B8" s="218"/>
      <c r="C8" s="218"/>
      <c r="D8" s="241"/>
      <c r="E8" s="240"/>
      <c r="F8" s="241"/>
      <c r="G8" s="241"/>
      <c r="H8" s="242"/>
      <c r="I8" s="241"/>
      <c r="J8" s="164"/>
      <c r="K8" s="119"/>
    </row>
    <row r="9" spans="1:12" s="53" customFormat="1" ht="8.1" customHeight="1" thickTop="1" x14ac:dyDescent="0.2">
      <c r="A9" s="350"/>
      <c r="B9" s="352"/>
      <c r="C9" s="352"/>
      <c r="D9" s="355"/>
      <c r="E9" s="365"/>
      <c r="F9" s="355"/>
      <c r="G9" s="355"/>
      <c r="H9" s="366"/>
      <c r="I9" s="355"/>
      <c r="J9" s="354"/>
      <c r="K9" s="350"/>
      <c r="L9" s="350"/>
    </row>
    <row r="10" spans="1:12" s="53" customFormat="1" ht="30.75" customHeight="1" x14ac:dyDescent="0.2">
      <c r="A10" s="356"/>
      <c r="B10" s="477" t="s">
        <v>231</v>
      </c>
      <c r="C10" s="477"/>
      <c r="D10" s="369" t="s">
        <v>98</v>
      </c>
      <c r="E10" s="471" t="s">
        <v>94</v>
      </c>
      <c r="F10" s="471" t="s">
        <v>210</v>
      </c>
      <c r="G10" s="474" t="s">
        <v>197</v>
      </c>
      <c r="H10" s="474"/>
      <c r="I10" s="474"/>
      <c r="J10" s="473" t="s">
        <v>198</v>
      </c>
      <c r="K10" s="471" t="s">
        <v>199</v>
      </c>
      <c r="L10" s="356"/>
    </row>
    <row r="11" spans="1:12" s="105" customFormat="1" ht="69.75" customHeight="1" x14ac:dyDescent="0.2">
      <c r="A11" s="363"/>
      <c r="B11" s="478"/>
      <c r="C11" s="478"/>
      <c r="D11" s="370"/>
      <c r="E11" s="476"/>
      <c r="F11" s="476"/>
      <c r="G11" s="368" t="s">
        <v>200</v>
      </c>
      <c r="H11" s="368" t="s">
        <v>201</v>
      </c>
      <c r="I11" s="368" t="s">
        <v>211</v>
      </c>
      <c r="J11" s="475"/>
      <c r="K11" s="476"/>
      <c r="L11" s="363"/>
    </row>
    <row r="12" spans="1:12" s="6" customFormat="1" ht="8.1" customHeight="1" x14ac:dyDescent="0.25">
      <c r="A12" s="24"/>
      <c r="B12" s="284"/>
      <c r="C12" s="284"/>
      <c r="D12" s="296"/>
      <c r="E12" s="286"/>
      <c r="F12" s="287"/>
      <c r="G12" s="286"/>
      <c r="H12" s="286"/>
      <c r="I12" s="286"/>
      <c r="J12" s="287"/>
      <c r="K12" s="286"/>
    </row>
    <row r="13" spans="1:12" s="53" customFormat="1" ht="17.100000000000001" customHeight="1" x14ac:dyDescent="0.2">
      <c r="B13" s="127" t="s">
        <v>177</v>
      </c>
      <c r="C13" s="127"/>
      <c r="D13" s="65">
        <v>2016</v>
      </c>
      <c r="E13" s="166">
        <f>SUM(F13:K13)</f>
        <v>13213</v>
      </c>
      <c r="F13" s="166">
        <f>SUM(F17,F21,F25,F29,F33,F37)</f>
        <v>1867</v>
      </c>
      <c r="G13" s="166">
        <f t="shared" ref="G13:K13" si="0">SUM(G17,G21,G25,G29,G33,G37)</f>
        <v>495</v>
      </c>
      <c r="H13" s="166">
        <f t="shared" si="0"/>
        <v>2104</v>
      </c>
      <c r="I13" s="166">
        <f t="shared" si="0"/>
        <v>3864</v>
      </c>
      <c r="J13" s="166">
        <f t="shared" si="0"/>
        <v>1288</v>
      </c>
      <c r="K13" s="166">
        <f t="shared" si="0"/>
        <v>3595</v>
      </c>
    </row>
    <row r="14" spans="1:12" s="53" customFormat="1" ht="17.100000000000001" customHeight="1" x14ac:dyDescent="0.2">
      <c r="B14" s="127"/>
      <c r="C14" s="127"/>
      <c r="D14" s="65">
        <v>2017</v>
      </c>
      <c r="E14" s="166">
        <f t="shared" ref="E14" si="1">SUM(F14:K14)</f>
        <v>9483</v>
      </c>
      <c r="F14" s="166">
        <f t="shared" ref="F14:K15" si="2">SUM(F18,F22,F26,F30,F34,F38)</f>
        <v>1188</v>
      </c>
      <c r="G14" s="166">
        <f t="shared" si="2"/>
        <v>291</v>
      </c>
      <c r="H14" s="166">
        <f t="shared" si="2"/>
        <v>1548</v>
      </c>
      <c r="I14" s="166">
        <f t="shared" si="2"/>
        <v>3328</v>
      </c>
      <c r="J14" s="166">
        <f t="shared" si="2"/>
        <v>7</v>
      </c>
      <c r="K14" s="166">
        <f t="shared" si="2"/>
        <v>3121</v>
      </c>
    </row>
    <row r="15" spans="1:12" s="53" customFormat="1" ht="16.5" customHeight="1" x14ac:dyDescent="0.2">
      <c r="B15" s="127"/>
      <c r="C15" s="127"/>
      <c r="D15" s="65">
        <v>2018</v>
      </c>
      <c r="E15" s="166">
        <f>SUM(F15:K15)</f>
        <v>8990</v>
      </c>
      <c r="F15" s="166">
        <f t="shared" si="2"/>
        <v>1104</v>
      </c>
      <c r="G15" s="166">
        <f t="shared" si="2"/>
        <v>253</v>
      </c>
      <c r="H15" s="166">
        <f t="shared" si="2"/>
        <v>1482</v>
      </c>
      <c r="I15" s="166">
        <f t="shared" si="2"/>
        <v>3030</v>
      </c>
      <c r="J15" s="166">
        <f t="shared" si="2"/>
        <v>3</v>
      </c>
      <c r="K15" s="166">
        <f t="shared" si="2"/>
        <v>3118</v>
      </c>
    </row>
    <row r="16" spans="1:12" s="53" customFormat="1" ht="15" customHeight="1" x14ac:dyDescent="0.2">
      <c r="B16" s="127"/>
      <c r="C16" s="127"/>
      <c r="D16" s="65"/>
      <c r="E16" s="166"/>
      <c r="F16" s="166"/>
      <c r="G16" s="166"/>
      <c r="H16" s="166"/>
      <c r="I16" s="166"/>
      <c r="J16" s="166"/>
      <c r="K16" s="166"/>
    </row>
    <row r="17" spans="1:11" s="105" customFormat="1" ht="17.100000000000001" customHeight="1" x14ac:dyDescent="0.2">
      <c r="A17" s="53"/>
      <c r="B17" s="58" t="s">
        <v>81</v>
      </c>
      <c r="C17" s="85"/>
      <c r="D17" s="162">
        <v>2016</v>
      </c>
      <c r="E17" s="167">
        <f>SUM(F17:K17)</f>
        <v>2145</v>
      </c>
      <c r="F17" s="303">
        <v>431</v>
      </c>
      <c r="G17" s="303">
        <v>90</v>
      </c>
      <c r="H17" s="303">
        <v>334</v>
      </c>
      <c r="I17" s="303">
        <v>520</v>
      </c>
      <c r="J17" s="303">
        <v>330</v>
      </c>
      <c r="K17" s="303">
        <v>440</v>
      </c>
    </row>
    <row r="18" spans="1:11" s="105" customFormat="1" ht="17.100000000000001" customHeight="1" x14ac:dyDescent="0.2">
      <c r="A18" s="86"/>
      <c r="B18" s="58"/>
      <c r="C18" s="85"/>
      <c r="D18" s="162">
        <v>2017</v>
      </c>
      <c r="E18" s="167">
        <f t="shared" ref="E18" si="3">SUM(F18:K18)</f>
        <v>1441</v>
      </c>
      <c r="F18" s="303">
        <v>291</v>
      </c>
      <c r="G18" s="303">
        <v>48</v>
      </c>
      <c r="H18" s="303">
        <v>273</v>
      </c>
      <c r="I18" s="303">
        <v>453</v>
      </c>
      <c r="J18" s="320" t="s">
        <v>51</v>
      </c>
      <c r="K18" s="303">
        <v>376</v>
      </c>
    </row>
    <row r="19" spans="1:11" s="105" customFormat="1" ht="17.100000000000001" customHeight="1" x14ac:dyDescent="0.25">
      <c r="B19" s="281"/>
      <c r="C19" s="58"/>
      <c r="D19" s="162">
        <v>2018</v>
      </c>
      <c r="E19" s="167">
        <f>SUM(F19:K19)</f>
        <v>1497</v>
      </c>
      <c r="F19" s="336">
        <v>292</v>
      </c>
      <c r="G19" s="336">
        <v>27</v>
      </c>
      <c r="H19" s="336">
        <v>280</v>
      </c>
      <c r="I19" s="336">
        <v>392</v>
      </c>
      <c r="J19" s="320" t="s">
        <v>51</v>
      </c>
      <c r="K19" s="336">
        <v>506</v>
      </c>
    </row>
    <row r="20" spans="1:11" s="105" customFormat="1" ht="15" customHeight="1" x14ac:dyDescent="0.2">
      <c r="B20" s="281"/>
      <c r="C20" s="58"/>
      <c r="D20" s="162"/>
      <c r="E20" s="167"/>
      <c r="F20" s="303"/>
      <c r="G20" s="303"/>
      <c r="H20" s="303"/>
      <c r="I20" s="303"/>
      <c r="J20" s="303"/>
      <c r="K20" s="303"/>
    </row>
    <row r="21" spans="1:11" s="105" customFormat="1" ht="17.100000000000001" customHeight="1" x14ac:dyDescent="0.2">
      <c r="A21" s="53"/>
      <c r="B21" s="58" t="s">
        <v>82</v>
      </c>
      <c r="C21" s="85"/>
      <c r="D21" s="162">
        <v>2016</v>
      </c>
      <c r="E21" s="167">
        <f>SUM(F21:K21)</f>
        <v>2035</v>
      </c>
      <c r="F21" s="303">
        <v>333</v>
      </c>
      <c r="G21" s="303">
        <v>130</v>
      </c>
      <c r="H21" s="303">
        <v>490</v>
      </c>
      <c r="I21" s="303">
        <v>742</v>
      </c>
      <c r="J21" s="303">
        <v>51</v>
      </c>
      <c r="K21" s="303">
        <v>289</v>
      </c>
    </row>
    <row r="22" spans="1:11" s="119" customFormat="1" ht="17.100000000000001" customHeight="1" x14ac:dyDescent="0.2">
      <c r="A22" s="53"/>
      <c r="B22" s="58"/>
      <c r="C22" s="85"/>
      <c r="D22" s="162">
        <v>2017</v>
      </c>
      <c r="E22" s="167">
        <f t="shared" ref="E22" si="4">SUM(F22:K22)</f>
        <v>1470</v>
      </c>
      <c r="F22" s="303">
        <v>150</v>
      </c>
      <c r="G22" s="303">
        <v>64</v>
      </c>
      <c r="H22" s="303">
        <v>316</v>
      </c>
      <c r="I22" s="303">
        <v>661</v>
      </c>
      <c r="J22" s="320" t="s">
        <v>51</v>
      </c>
      <c r="K22" s="303">
        <v>279</v>
      </c>
    </row>
    <row r="23" spans="1:11" s="86" customFormat="1" ht="17.100000000000001" customHeight="1" x14ac:dyDescent="0.25">
      <c r="A23" s="105"/>
      <c r="B23" s="281"/>
      <c r="C23" s="58"/>
      <c r="D23" s="162">
        <v>2018</v>
      </c>
      <c r="E23" s="167">
        <f>SUM(F23:K23)</f>
        <v>1370</v>
      </c>
      <c r="F23" s="313">
        <v>118</v>
      </c>
      <c r="G23" s="313">
        <v>66</v>
      </c>
      <c r="H23" s="313">
        <v>374</v>
      </c>
      <c r="I23" s="313">
        <v>592</v>
      </c>
      <c r="J23" s="313">
        <v>2</v>
      </c>
      <c r="K23" s="313">
        <v>218</v>
      </c>
    </row>
    <row r="24" spans="1:11" s="86" customFormat="1" ht="15" customHeight="1" x14ac:dyDescent="0.2">
      <c r="A24" s="105"/>
      <c r="B24" s="281"/>
      <c r="C24" s="58"/>
      <c r="D24" s="162"/>
      <c r="E24" s="167"/>
      <c r="F24" s="303"/>
      <c r="G24" s="303"/>
      <c r="H24" s="303"/>
      <c r="I24" s="303"/>
      <c r="J24" s="303"/>
      <c r="K24" s="303"/>
    </row>
    <row r="25" spans="1:11" s="53" customFormat="1" ht="17.100000000000001" customHeight="1" x14ac:dyDescent="0.2">
      <c r="B25" s="58" t="s">
        <v>83</v>
      </c>
      <c r="C25" s="85"/>
      <c r="D25" s="162">
        <v>2016</v>
      </c>
      <c r="E25" s="167">
        <f>SUM(F25:K25)</f>
        <v>3311</v>
      </c>
      <c r="F25" s="303">
        <v>202</v>
      </c>
      <c r="G25" s="303">
        <v>27</v>
      </c>
      <c r="H25" s="303">
        <v>182</v>
      </c>
      <c r="I25" s="303">
        <v>637</v>
      </c>
      <c r="J25" s="303">
        <v>663</v>
      </c>
      <c r="K25" s="303">
        <v>1600</v>
      </c>
    </row>
    <row r="26" spans="1:11" s="53" customFormat="1" ht="17.100000000000001" customHeight="1" x14ac:dyDescent="0.2">
      <c r="B26" s="58"/>
      <c r="C26" s="85"/>
      <c r="D26" s="162">
        <v>2017</v>
      </c>
      <c r="E26" s="167">
        <f t="shared" ref="E26" si="5">SUM(F26:K26)</f>
        <v>2254</v>
      </c>
      <c r="F26" s="303">
        <v>134</v>
      </c>
      <c r="G26" s="303">
        <v>15</v>
      </c>
      <c r="H26" s="303">
        <v>126</v>
      </c>
      <c r="I26" s="303">
        <v>525</v>
      </c>
      <c r="J26" s="303">
        <v>6</v>
      </c>
      <c r="K26" s="303">
        <v>1448</v>
      </c>
    </row>
    <row r="27" spans="1:11" s="53" customFormat="1" ht="17.100000000000001" customHeight="1" x14ac:dyDescent="0.25">
      <c r="A27" s="105"/>
      <c r="B27" s="281"/>
      <c r="C27" s="58"/>
      <c r="D27" s="162">
        <v>2018</v>
      </c>
      <c r="E27" s="167">
        <f>SUM(F27:K27)</f>
        <v>2162</v>
      </c>
      <c r="F27" s="336">
        <v>151</v>
      </c>
      <c r="G27" s="336">
        <v>17</v>
      </c>
      <c r="H27" s="336">
        <v>112</v>
      </c>
      <c r="I27" s="336">
        <v>496</v>
      </c>
      <c r="J27" s="320" t="s">
        <v>51</v>
      </c>
      <c r="K27" s="336">
        <v>1386</v>
      </c>
    </row>
    <row r="28" spans="1:11" s="53" customFormat="1" ht="15" customHeight="1" x14ac:dyDescent="0.2">
      <c r="A28" s="105"/>
      <c r="B28" s="281"/>
      <c r="C28" s="58"/>
      <c r="D28" s="162"/>
      <c r="E28" s="167"/>
      <c r="F28" s="303"/>
      <c r="G28" s="303"/>
      <c r="H28" s="303"/>
      <c r="I28" s="303"/>
      <c r="J28" s="303"/>
      <c r="K28" s="303"/>
    </row>
    <row r="29" spans="1:11" s="53" customFormat="1" ht="17.100000000000001" customHeight="1" x14ac:dyDescent="0.2">
      <c r="B29" s="58" t="s">
        <v>84</v>
      </c>
      <c r="C29" s="85"/>
      <c r="D29" s="162">
        <v>2016</v>
      </c>
      <c r="E29" s="167">
        <f>SUM(F29:K29)</f>
        <v>2697</v>
      </c>
      <c r="F29" s="303">
        <v>373</v>
      </c>
      <c r="G29" s="303">
        <v>203</v>
      </c>
      <c r="H29" s="303">
        <v>678</v>
      </c>
      <c r="I29" s="303">
        <v>883</v>
      </c>
      <c r="J29" s="303">
        <v>60</v>
      </c>
      <c r="K29" s="303">
        <v>500</v>
      </c>
    </row>
    <row r="30" spans="1:11" s="53" customFormat="1" ht="17.100000000000001" customHeight="1" x14ac:dyDescent="0.2">
      <c r="B30" s="58"/>
      <c r="C30" s="85"/>
      <c r="D30" s="162">
        <v>2017</v>
      </c>
      <c r="E30" s="167">
        <f t="shared" ref="E30" si="6">SUM(F30:K30)</f>
        <v>2063</v>
      </c>
      <c r="F30" s="303">
        <v>283</v>
      </c>
      <c r="G30" s="303">
        <v>121</v>
      </c>
      <c r="H30" s="303">
        <v>506</v>
      </c>
      <c r="I30" s="303">
        <v>704</v>
      </c>
      <c r="J30" s="320" t="s">
        <v>51</v>
      </c>
      <c r="K30" s="303">
        <v>449</v>
      </c>
    </row>
    <row r="31" spans="1:11" s="53" customFormat="1" ht="17.100000000000001" customHeight="1" x14ac:dyDescent="0.25">
      <c r="A31" s="105"/>
      <c r="B31" s="281"/>
      <c r="C31" s="58"/>
      <c r="D31" s="162">
        <v>2018</v>
      </c>
      <c r="E31" s="167">
        <f>SUM(F31:K31)</f>
        <v>1850</v>
      </c>
      <c r="F31" s="336">
        <v>245</v>
      </c>
      <c r="G31" s="336">
        <v>87</v>
      </c>
      <c r="H31" s="336">
        <v>425</v>
      </c>
      <c r="I31" s="336">
        <v>612</v>
      </c>
      <c r="J31" s="336">
        <v>1</v>
      </c>
      <c r="K31" s="336">
        <v>480</v>
      </c>
    </row>
    <row r="32" spans="1:11" s="53" customFormat="1" ht="15" customHeight="1" x14ac:dyDescent="0.2">
      <c r="A32" s="105"/>
      <c r="B32" s="281"/>
      <c r="C32" s="58"/>
      <c r="D32" s="162"/>
      <c r="E32" s="167"/>
      <c r="F32" s="303"/>
      <c r="G32" s="303"/>
      <c r="H32" s="303"/>
      <c r="I32" s="303"/>
      <c r="J32" s="303"/>
      <c r="K32" s="303"/>
    </row>
    <row r="33" spans="1:12" s="53" customFormat="1" ht="17.100000000000001" customHeight="1" x14ac:dyDescent="0.2">
      <c r="B33" s="58" t="s">
        <v>85</v>
      </c>
      <c r="C33" s="85"/>
      <c r="D33" s="162">
        <v>2016</v>
      </c>
      <c r="E33" s="167">
        <f>SUM(F33:K33)</f>
        <v>2762</v>
      </c>
      <c r="F33" s="303">
        <v>481</v>
      </c>
      <c r="G33" s="303">
        <v>42</v>
      </c>
      <c r="H33" s="303">
        <v>394</v>
      </c>
      <c r="I33" s="303">
        <v>1000</v>
      </c>
      <c r="J33" s="303">
        <v>178</v>
      </c>
      <c r="K33" s="303">
        <v>667</v>
      </c>
    </row>
    <row r="34" spans="1:12" s="53" customFormat="1" ht="17.100000000000001" customHeight="1" x14ac:dyDescent="0.2">
      <c r="B34" s="58"/>
      <c r="C34" s="85"/>
      <c r="D34" s="162">
        <v>2017</v>
      </c>
      <c r="E34" s="167">
        <f t="shared" ref="E34" si="7">SUM(F34:K34)</f>
        <v>2019</v>
      </c>
      <c r="F34" s="303">
        <v>281</v>
      </c>
      <c r="G34" s="303">
        <v>41</v>
      </c>
      <c r="H34" s="303">
        <v>321</v>
      </c>
      <c r="I34" s="303">
        <v>894</v>
      </c>
      <c r="J34" s="303">
        <v>1</v>
      </c>
      <c r="K34" s="303">
        <v>481</v>
      </c>
    </row>
    <row r="35" spans="1:12" s="53" customFormat="1" ht="17.100000000000001" customHeight="1" x14ac:dyDescent="0.25">
      <c r="A35" s="105"/>
      <c r="B35" s="281"/>
      <c r="C35" s="58"/>
      <c r="D35" s="162">
        <v>2018</v>
      </c>
      <c r="E35" s="167">
        <f>SUM(F35:K35)</f>
        <v>1916</v>
      </c>
      <c r="F35" s="336">
        <v>247</v>
      </c>
      <c r="G35" s="336">
        <v>54</v>
      </c>
      <c r="H35" s="336">
        <v>283</v>
      </c>
      <c r="I35" s="336">
        <v>867</v>
      </c>
      <c r="J35" s="320" t="s">
        <v>51</v>
      </c>
      <c r="K35" s="336">
        <v>465</v>
      </c>
    </row>
    <row r="36" spans="1:12" s="53" customFormat="1" ht="15" customHeight="1" x14ac:dyDescent="0.2">
      <c r="A36" s="105"/>
      <c r="B36" s="281"/>
      <c r="C36" s="58"/>
      <c r="D36" s="162"/>
      <c r="E36" s="167"/>
      <c r="F36" s="303"/>
      <c r="G36" s="303"/>
      <c r="H36" s="303"/>
      <c r="I36" s="303"/>
      <c r="J36" s="303"/>
      <c r="K36" s="303"/>
    </row>
    <row r="37" spans="1:12" s="53" customFormat="1" ht="17.100000000000001" customHeight="1" x14ac:dyDescent="0.2">
      <c r="A37" s="118"/>
      <c r="B37" s="58" t="s">
        <v>86</v>
      </c>
      <c r="C37" s="85"/>
      <c r="D37" s="162">
        <v>2016</v>
      </c>
      <c r="E37" s="167">
        <f>SUM(F37:K37)</f>
        <v>263</v>
      </c>
      <c r="F37" s="303">
        <v>47</v>
      </c>
      <c r="G37" s="303">
        <v>3</v>
      </c>
      <c r="H37" s="303">
        <v>26</v>
      </c>
      <c r="I37" s="303">
        <v>82</v>
      </c>
      <c r="J37" s="303">
        <v>6</v>
      </c>
      <c r="K37" s="303">
        <v>99</v>
      </c>
    </row>
    <row r="38" spans="1:12" s="53" customFormat="1" ht="17.100000000000001" customHeight="1" x14ac:dyDescent="0.2">
      <c r="B38" s="58"/>
      <c r="C38" s="85"/>
      <c r="D38" s="162">
        <v>2017</v>
      </c>
      <c r="E38" s="167">
        <f t="shared" ref="E38" si="8">SUM(F38:K38)</f>
        <v>236</v>
      </c>
      <c r="F38" s="303">
        <v>49</v>
      </c>
      <c r="G38" s="303">
        <v>2</v>
      </c>
      <c r="H38" s="303">
        <v>6</v>
      </c>
      <c r="I38" s="303">
        <v>91</v>
      </c>
      <c r="J38" s="320" t="s">
        <v>51</v>
      </c>
      <c r="K38" s="303">
        <v>88</v>
      </c>
    </row>
    <row r="39" spans="1:12" s="118" customFormat="1" ht="17.100000000000001" customHeight="1" x14ac:dyDescent="0.25">
      <c r="A39" s="109"/>
      <c r="B39" s="281"/>
      <c r="C39" s="58"/>
      <c r="D39" s="162">
        <v>2018</v>
      </c>
      <c r="E39" s="167">
        <f>SUM(F39:K39)</f>
        <v>195</v>
      </c>
      <c r="F39" s="336">
        <v>51</v>
      </c>
      <c r="G39" s="336">
        <v>2</v>
      </c>
      <c r="H39" s="336">
        <v>8</v>
      </c>
      <c r="I39" s="336">
        <v>71</v>
      </c>
      <c r="J39" s="320" t="s">
        <v>51</v>
      </c>
      <c r="K39" s="336">
        <v>63</v>
      </c>
      <c r="L39" s="218"/>
    </row>
    <row r="40" spans="1:12" s="3" customFormat="1" ht="15" customHeight="1" thickBot="1" x14ac:dyDescent="0.3">
      <c r="A40" s="103"/>
      <c r="B40" s="297"/>
      <c r="C40" s="16"/>
      <c r="D40" s="188"/>
      <c r="E40" s="12"/>
      <c r="F40" s="12"/>
      <c r="G40" s="12"/>
      <c r="H40" s="12"/>
      <c r="I40" s="12"/>
      <c r="J40" s="12"/>
      <c r="K40" s="12"/>
      <c r="L40" s="74"/>
    </row>
    <row r="41" spans="1:12" x14ac:dyDescent="0.25">
      <c r="B41" s="205"/>
      <c r="C41" s="205"/>
      <c r="D41" s="205"/>
      <c r="E41" s="269"/>
      <c r="F41" s="399"/>
      <c r="G41" s="410"/>
      <c r="H41" s="399"/>
      <c r="I41" s="399"/>
      <c r="J41" s="399"/>
      <c r="K41" s="175" t="s">
        <v>101</v>
      </c>
    </row>
    <row r="42" spans="1:12" x14ac:dyDescent="0.25">
      <c r="B42" s="266"/>
      <c r="C42" s="266"/>
      <c r="D42" s="266"/>
      <c r="E42" s="269"/>
      <c r="F42" s="399"/>
      <c r="G42" s="399"/>
      <c r="H42" s="399"/>
      <c r="I42" s="399"/>
      <c r="J42" s="399"/>
      <c r="K42" s="176" t="s">
        <v>1</v>
      </c>
    </row>
    <row r="43" spans="1:12" x14ac:dyDescent="0.25">
      <c r="E43" s="21"/>
      <c r="F43" s="174"/>
      <c r="G43" s="174"/>
      <c r="H43" s="174"/>
      <c r="I43" s="174"/>
      <c r="J43" s="174"/>
      <c r="K43" s="174"/>
    </row>
    <row r="44" spans="1:12" x14ac:dyDescent="0.25">
      <c r="E44" s="21"/>
      <c r="F44" s="174"/>
      <c r="G44" s="174"/>
      <c r="H44" s="174"/>
      <c r="I44" s="174"/>
      <c r="J44" s="174"/>
      <c r="K44" s="174"/>
    </row>
    <row r="45" spans="1:12" x14ac:dyDescent="0.25">
      <c r="E45" s="21"/>
      <c r="F45" s="174"/>
      <c r="G45" s="174"/>
      <c r="H45" s="174"/>
      <c r="I45" s="174"/>
      <c r="J45" s="174"/>
      <c r="K45" s="174"/>
    </row>
    <row r="46" spans="1:12" x14ac:dyDescent="0.25">
      <c r="E46" s="21"/>
      <c r="F46" s="174"/>
      <c r="G46" s="174"/>
      <c r="H46" s="174"/>
      <c r="I46" s="174"/>
      <c r="J46" s="174"/>
      <c r="K46" s="174"/>
    </row>
    <row r="47" spans="1:12" x14ac:dyDescent="0.25">
      <c r="E47" s="21"/>
      <c r="F47" s="174"/>
      <c r="G47" s="174"/>
      <c r="H47" s="174"/>
      <c r="I47" s="174"/>
      <c r="J47" s="174"/>
      <c r="K47" s="174"/>
    </row>
    <row r="48" spans="1:12" x14ac:dyDescent="0.25">
      <c r="E48" s="21"/>
      <c r="F48" s="174"/>
      <c r="G48" s="174"/>
      <c r="H48" s="174"/>
      <c r="I48" s="174"/>
      <c r="J48" s="174"/>
      <c r="K48" s="174"/>
    </row>
    <row r="49" spans="5:11" x14ac:dyDescent="0.25">
      <c r="E49" s="21"/>
      <c r="F49" s="174"/>
      <c r="G49" s="174"/>
      <c r="H49" s="174"/>
      <c r="I49" s="174"/>
      <c r="J49" s="174"/>
      <c r="K49" s="174"/>
    </row>
    <row r="50" spans="5:11" x14ac:dyDescent="0.25">
      <c r="E50" s="21"/>
      <c r="F50" s="174"/>
      <c r="G50" s="174"/>
      <c r="H50" s="174"/>
      <c r="I50" s="174"/>
      <c r="J50" s="174"/>
      <c r="K50" s="174"/>
    </row>
    <row r="51" spans="5:11" x14ac:dyDescent="0.25">
      <c r="E51" s="21"/>
      <c r="F51" s="174"/>
      <c r="G51" s="174"/>
      <c r="H51" s="174"/>
      <c r="I51" s="174"/>
      <c r="J51" s="174"/>
      <c r="K51" s="174"/>
    </row>
    <row r="52" spans="5:11" x14ac:dyDescent="0.25">
      <c r="E52" s="21"/>
      <c r="F52" s="174"/>
      <c r="G52" s="174"/>
      <c r="H52" s="174"/>
      <c r="I52" s="174"/>
      <c r="J52" s="174"/>
      <c r="K52" s="174"/>
    </row>
    <row r="53" spans="5:11" x14ac:dyDescent="0.25">
      <c r="E53" s="21"/>
      <c r="F53" s="174"/>
      <c r="G53" s="174"/>
      <c r="H53" s="174"/>
      <c r="I53" s="174"/>
      <c r="J53" s="174"/>
      <c r="K53" s="174"/>
    </row>
    <row r="54" spans="5:11" x14ac:dyDescent="0.25">
      <c r="E54" s="21"/>
      <c r="F54" s="174"/>
      <c r="G54" s="174"/>
      <c r="H54" s="174"/>
      <c r="I54" s="174"/>
      <c r="J54" s="174"/>
      <c r="K54" s="174"/>
    </row>
    <row r="55" spans="5:11" x14ac:dyDescent="0.25">
      <c r="E55" s="21"/>
      <c r="F55" s="174"/>
      <c r="G55" s="174"/>
      <c r="H55" s="174"/>
      <c r="I55" s="174"/>
      <c r="J55" s="174"/>
      <c r="K55" s="174"/>
    </row>
    <row r="56" spans="5:11" x14ac:dyDescent="0.25">
      <c r="F56" s="401"/>
      <c r="G56" s="401"/>
      <c r="H56" s="402"/>
      <c r="I56" s="401"/>
      <c r="J56" s="15"/>
      <c r="K56" s="15"/>
    </row>
    <row r="57" spans="5:11" x14ac:dyDescent="0.25">
      <c r="F57" s="401"/>
      <c r="G57" s="401"/>
      <c r="H57" s="402"/>
      <c r="I57" s="401"/>
      <c r="J57" s="15"/>
      <c r="K57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tabSelected="1" topLeftCell="A9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1.140625" style="3" customWidth="1"/>
    <col min="3" max="3" width="12.28515625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74" customWidth="1"/>
    <col min="8" max="8" width="0.85546875" style="2" customWidth="1"/>
    <col min="9" max="16384" width="9.140625" style="2"/>
  </cols>
  <sheetData>
    <row r="1" spans="1:15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15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15" s="30" customFormat="1" ht="12" customHeight="1" x14ac:dyDescent="0.25">
      <c r="B3" s="27"/>
      <c r="C3" s="27"/>
      <c r="D3" s="27"/>
      <c r="E3" s="28"/>
      <c r="F3" s="29"/>
      <c r="G3" s="172"/>
    </row>
    <row r="4" spans="1:15" s="30" customFormat="1" ht="12" customHeight="1" x14ac:dyDescent="0.25">
      <c r="B4" s="27"/>
      <c r="C4" s="27"/>
      <c r="D4" s="27"/>
      <c r="E4" s="28"/>
      <c r="F4" s="29"/>
      <c r="G4" s="172"/>
    </row>
    <row r="5" spans="1:15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15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15" ht="9.9499999999999993" customHeight="1" thickBot="1" x14ac:dyDescent="0.3"/>
    <row r="8" spans="1:15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61" t="s">
        <v>96</v>
      </c>
      <c r="H8" s="347"/>
    </row>
    <row r="9" spans="1:15" s="53" customFormat="1" ht="33" customHeight="1" thickBot="1" x14ac:dyDescent="0.25">
      <c r="A9" s="348"/>
      <c r="B9" s="464"/>
      <c r="C9" s="464"/>
      <c r="D9" s="458"/>
      <c r="E9" s="458"/>
      <c r="F9" s="460"/>
      <c r="G9" s="462"/>
      <c r="H9" s="344"/>
    </row>
    <row r="10" spans="1:15" ht="8.1" customHeight="1" x14ac:dyDescent="0.2">
      <c r="A10" s="45"/>
      <c r="B10" s="47"/>
      <c r="C10" s="47"/>
      <c r="D10" s="47"/>
      <c r="E10" s="48"/>
      <c r="F10" s="48"/>
      <c r="G10" s="177"/>
      <c r="H10" s="45"/>
    </row>
    <row r="11" spans="1:15" s="24" customFormat="1" ht="15" customHeight="1" x14ac:dyDescent="0.25">
      <c r="B11" s="64" t="s">
        <v>178</v>
      </c>
      <c r="C11" s="64"/>
      <c r="D11" s="124">
        <v>2016</v>
      </c>
      <c r="E11" s="166">
        <f>E15+E19+E23+E27+E31+E35+E39+E43+E47+E51</f>
        <v>4548</v>
      </c>
      <c r="F11" s="65">
        <v>543</v>
      </c>
      <c r="G11" s="166">
        <v>4005</v>
      </c>
      <c r="O11" s="6"/>
    </row>
    <row r="12" spans="1:15" s="24" customFormat="1" ht="15" customHeight="1" x14ac:dyDescent="0.25">
      <c r="B12" s="64"/>
      <c r="C12" s="64"/>
      <c r="D12" s="124">
        <v>2017</v>
      </c>
      <c r="E12" s="166">
        <f t="shared" ref="E12" si="0">E16+E20+E24+E28+E32+E36+E40+E44+E48+E52</f>
        <v>4520</v>
      </c>
      <c r="F12" s="65">
        <v>600</v>
      </c>
      <c r="G12" s="166">
        <v>3920</v>
      </c>
      <c r="O12" s="6"/>
    </row>
    <row r="13" spans="1:15" s="24" customFormat="1" ht="15" customHeight="1" x14ac:dyDescent="0.25">
      <c r="B13" s="64"/>
      <c r="C13" s="64"/>
      <c r="D13" s="124">
        <v>2018</v>
      </c>
      <c r="E13" s="166">
        <f>SUM(F13:G13)</f>
        <v>3987</v>
      </c>
      <c r="F13" s="166">
        <v>511</v>
      </c>
      <c r="G13" s="166">
        <v>3476</v>
      </c>
      <c r="O13" s="6"/>
    </row>
    <row r="14" spans="1:15" s="7" customFormat="1" ht="8.1" customHeight="1" x14ac:dyDescent="0.2">
      <c r="B14" s="64"/>
      <c r="C14" s="64"/>
      <c r="D14" s="124"/>
      <c r="E14" s="56"/>
      <c r="F14" s="56"/>
      <c r="G14" s="56"/>
      <c r="O14" s="2"/>
    </row>
    <row r="15" spans="1:15" s="7" customFormat="1" ht="15" customHeight="1" x14ac:dyDescent="0.2">
      <c r="B15" s="58" t="s">
        <v>11</v>
      </c>
      <c r="C15" s="58"/>
      <c r="D15" s="169">
        <v>2016</v>
      </c>
      <c r="E15" s="167">
        <f>SUM(F15:G15)</f>
        <v>375</v>
      </c>
      <c r="F15" s="162">
        <v>85</v>
      </c>
      <c r="G15" s="167">
        <v>290</v>
      </c>
      <c r="O15" s="2"/>
    </row>
    <row r="16" spans="1:15" s="7" customFormat="1" ht="15" customHeight="1" x14ac:dyDescent="0.2">
      <c r="B16" s="58"/>
      <c r="C16" s="58"/>
      <c r="D16" s="169">
        <v>2017</v>
      </c>
      <c r="E16" s="167">
        <f>SUM(F16:G16)</f>
        <v>309</v>
      </c>
      <c r="F16" s="162">
        <v>56</v>
      </c>
      <c r="G16" s="167">
        <v>253</v>
      </c>
      <c r="O16" s="2"/>
    </row>
    <row r="17" spans="2:15" s="7" customFormat="1" ht="15" customHeight="1" x14ac:dyDescent="0.2">
      <c r="B17" s="58"/>
      <c r="C17" s="58"/>
      <c r="D17" s="169">
        <v>2018</v>
      </c>
      <c r="E17" s="167">
        <f>SUM(F17:G17)</f>
        <v>258</v>
      </c>
      <c r="F17" s="162">
        <v>41</v>
      </c>
      <c r="G17" s="167">
        <v>217</v>
      </c>
      <c r="O17" s="2"/>
    </row>
    <row r="18" spans="2:15" s="7" customFormat="1" ht="8.1" customHeight="1" x14ac:dyDescent="0.2">
      <c r="B18" s="58"/>
      <c r="C18" s="58"/>
      <c r="D18" s="169"/>
      <c r="E18" s="167"/>
      <c r="F18" s="162"/>
      <c r="G18" s="167"/>
      <c r="O18" s="2"/>
    </row>
    <row r="19" spans="2:15" s="7" customFormat="1" ht="15" customHeight="1" x14ac:dyDescent="0.2">
      <c r="B19" s="58" t="s">
        <v>18</v>
      </c>
      <c r="C19" s="58"/>
      <c r="D19" s="169">
        <v>2016</v>
      </c>
      <c r="E19" s="167">
        <f>SUM(F19:G19)</f>
        <v>233</v>
      </c>
      <c r="F19" s="162">
        <v>41</v>
      </c>
      <c r="G19" s="167">
        <v>192</v>
      </c>
      <c r="O19" s="2"/>
    </row>
    <row r="20" spans="2:15" s="7" customFormat="1" ht="15" customHeight="1" x14ac:dyDescent="0.2">
      <c r="B20" s="58"/>
      <c r="C20" s="58"/>
      <c r="D20" s="169">
        <v>2017</v>
      </c>
      <c r="E20" s="167">
        <f>SUM(F20:G20)</f>
        <v>198</v>
      </c>
      <c r="F20" s="161">
        <v>34</v>
      </c>
      <c r="G20" s="167">
        <v>164</v>
      </c>
      <c r="O20" s="2"/>
    </row>
    <row r="21" spans="2:15" s="7" customFormat="1" ht="15" customHeight="1" x14ac:dyDescent="0.2">
      <c r="B21" s="58"/>
      <c r="C21" s="58"/>
      <c r="D21" s="169">
        <v>2018</v>
      </c>
      <c r="E21" s="167">
        <f>SUM(F21:G21)</f>
        <v>149</v>
      </c>
      <c r="F21" s="162">
        <v>26</v>
      </c>
      <c r="G21" s="167">
        <v>123</v>
      </c>
      <c r="O21" s="2"/>
    </row>
    <row r="22" spans="2:15" s="7" customFormat="1" ht="8.1" customHeight="1" x14ac:dyDescent="0.2">
      <c r="B22" s="58"/>
      <c r="C22" s="58"/>
      <c r="D22" s="169"/>
      <c r="E22" s="167"/>
      <c r="F22" s="165"/>
      <c r="G22" s="167"/>
      <c r="O22" s="2"/>
    </row>
    <row r="23" spans="2:15" s="7" customFormat="1" ht="15" customHeight="1" x14ac:dyDescent="0.2">
      <c r="B23" s="58" t="s">
        <v>20</v>
      </c>
      <c r="C23" s="58"/>
      <c r="D23" s="169">
        <v>2016</v>
      </c>
      <c r="E23" s="167">
        <f>SUM(F23:G23)</f>
        <v>46</v>
      </c>
      <c r="F23" s="162">
        <v>8</v>
      </c>
      <c r="G23" s="167">
        <v>38</v>
      </c>
      <c r="O23" s="2"/>
    </row>
    <row r="24" spans="2:15" ht="15" customHeight="1" x14ac:dyDescent="0.2">
      <c r="B24" s="58"/>
      <c r="C24" s="58"/>
      <c r="D24" s="169">
        <v>2017</v>
      </c>
      <c r="E24" s="167">
        <f>SUM(F24:G24)</f>
        <v>49</v>
      </c>
      <c r="F24" s="165">
        <v>6</v>
      </c>
      <c r="G24" s="167">
        <v>43</v>
      </c>
      <c r="H24" s="7"/>
    </row>
    <row r="25" spans="2:15" ht="15" customHeight="1" x14ac:dyDescent="0.2">
      <c r="B25" s="58"/>
      <c r="C25" s="58"/>
      <c r="D25" s="169">
        <v>2018</v>
      </c>
      <c r="E25" s="167">
        <f>SUM(F25:G25)</f>
        <v>52</v>
      </c>
      <c r="F25" s="162">
        <v>9</v>
      </c>
      <c r="G25" s="167">
        <v>43</v>
      </c>
    </row>
    <row r="26" spans="2:15" ht="8.1" customHeight="1" x14ac:dyDescent="0.2">
      <c r="B26" s="58"/>
      <c r="C26" s="58"/>
      <c r="D26" s="169"/>
      <c r="E26" s="167"/>
      <c r="F26" s="161"/>
      <c r="G26" s="167"/>
    </row>
    <row r="27" spans="2:15" ht="15" customHeight="1" x14ac:dyDescent="0.2">
      <c r="B27" s="58" t="s">
        <v>12</v>
      </c>
      <c r="C27" s="58"/>
      <c r="D27" s="169">
        <v>2016</v>
      </c>
      <c r="E27" s="167">
        <f>SUM(F27:G27)</f>
        <v>1861</v>
      </c>
      <c r="F27" s="162">
        <v>127</v>
      </c>
      <c r="G27" s="167">
        <v>1734</v>
      </c>
    </row>
    <row r="28" spans="2:15" ht="15" customHeight="1" x14ac:dyDescent="0.2">
      <c r="B28" s="58"/>
      <c r="C28" s="58"/>
      <c r="D28" s="169">
        <v>2017</v>
      </c>
      <c r="E28" s="167">
        <f>SUM(F28:G28)</f>
        <v>2000</v>
      </c>
      <c r="F28" s="165">
        <v>188</v>
      </c>
      <c r="G28" s="167">
        <v>1812</v>
      </c>
    </row>
    <row r="29" spans="2:15" s="3" customFormat="1" ht="15" customHeight="1" x14ac:dyDescent="0.2">
      <c r="B29" s="58"/>
      <c r="C29" s="58"/>
      <c r="D29" s="169">
        <v>2018</v>
      </c>
      <c r="E29" s="167">
        <f>SUM(F29:G29)</f>
        <v>1597</v>
      </c>
      <c r="F29" s="162">
        <v>168</v>
      </c>
      <c r="G29" s="167">
        <v>1429</v>
      </c>
      <c r="H29" s="2"/>
      <c r="I29" s="2"/>
      <c r="J29" s="2"/>
      <c r="K29" s="2"/>
      <c r="L29" s="2"/>
    </row>
    <row r="30" spans="2:15" s="3" customFormat="1" ht="8.1" customHeight="1" x14ac:dyDescent="0.2">
      <c r="B30" s="58"/>
      <c r="C30" s="58"/>
      <c r="D30" s="169"/>
      <c r="E30" s="167"/>
      <c r="F30" s="162"/>
      <c r="G30" s="167"/>
      <c r="H30" s="2"/>
      <c r="I30" s="2"/>
      <c r="J30" s="2"/>
      <c r="K30" s="2"/>
      <c r="L30" s="2"/>
    </row>
    <row r="31" spans="2:15" ht="15" customHeight="1" x14ac:dyDescent="0.2">
      <c r="B31" s="58" t="s">
        <v>19</v>
      </c>
      <c r="C31" s="58"/>
      <c r="D31" s="169">
        <v>2016</v>
      </c>
      <c r="E31" s="167">
        <f>SUM(F31:G31)</f>
        <v>256</v>
      </c>
      <c r="F31" s="162">
        <v>47</v>
      </c>
      <c r="G31" s="167">
        <v>209</v>
      </c>
    </row>
    <row r="32" spans="2:15" ht="15" customHeight="1" x14ac:dyDescent="0.2">
      <c r="B32" s="58"/>
      <c r="C32" s="58"/>
      <c r="D32" s="169">
        <v>2017</v>
      </c>
      <c r="E32" s="167">
        <f>SUM(F32:G32)</f>
        <v>254</v>
      </c>
      <c r="F32" s="162">
        <v>44</v>
      </c>
      <c r="G32" s="167">
        <v>210</v>
      </c>
    </row>
    <row r="33" spans="2:7" ht="15" customHeight="1" x14ac:dyDescent="0.2">
      <c r="B33" s="58"/>
      <c r="C33" s="58"/>
      <c r="D33" s="169">
        <v>2018</v>
      </c>
      <c r="E33" s="167">
        <f>SUM(F33:G33)</f>
        <v>189</v>
      </c>
      <c r="F33" s="162">
        <v>27</v>
      </c>
      <c r="G33" s="167">
        <v>162</v>
      </c>
    </row>
    <row r="34" spans="2:7" ht="8.1" customHeight="1" x14ac:dyDescent="0.2">
      <c r="B34" s="58"/>
      <c r="C34" s="58"/>
      <c r="D34" s="169"/>
      <c r="E34" s="167"/>
      <c r="F34" s="165"/>
      <c r="G34" s="167"/>
    </row>
    <row r="35" spans="2:7" ht="15" customHeight="1" x14ac:dyDescent="0.2">
      <c r="B35" s="58" t="s">
        <v>13</v>
      </c>
      <c r="C35" s="58"/>
      <c r="D35" s="169">
        <v>2016</v>
      </c>
      <c r="E35" s="167">
        <f>SUM(F35:G35)</f>
        <v>233</v>
      </c>
      <c r="F35" s="162">
        <v>22</v>
      </c>
      <c r="G35" s="167">
        <v>211</v>
      </c>
    </row>
    <row r="36" spans="2:7" ht="15" customHeight="1" x14ac:dyDescent="0.2">
      <c r="B36" s="58"/>
      <c r="C36" s="58"/>
      <c r="D36" s="169">
        <v>2017</v>
      </c>
      <c r="E36" s="167">
        <f>SUM(F36:G36)</f>
        <v>215</v>
      </c>
      <c r="F36" s="165">
        <v>38</v>
      </c>
      <c r="G36" s="167">
        <v>177</v>
      </c>
    </row>
    <row r="37" spans="2:7" ht="15" customHeight="1" x14ac:dyDescent="0.2">
      <c r="B37" s="58"/>
      <c r="C37" s="58"/>
      <c r="D37" s="169">
        <v>2018</v>
      </c>
      <c r="E37" s="167">
        <f>SUM(F37:G37)</f>
        <v>380</v>
      </c>
      <c r="F37" s="162">
        <v>29</v>
      </c>
      <c r="G37" s="167">
        <v>351</v>
      </c>
    </row>
    <row r="38" spans="2:7" ht="8.1" customHeight="1" x14ac:dyDescent="0.2">
      <c r="B38" s="58"/>
      <c r="C38" s="58"/>
      <c r="D38" s="169"/>
      <c r="E38" s="167"/>
      <c r="F38" s="162"/>
      <c r="G38" s="167"/>
    </row>
    <row r="39" spans="2:7" ht="15" customHeight="1" x14ac:dyDescent="0.2">
      <c r="B39" s="58" t="s">
        <v>14</v>
      </c>
      <c r="C39" s="58"/>
      <c r="D39" s="169">
        <v>2016</v>
      </c>
      <c r="E39" s="167">
        <f>SUM(F39:G39)</f>
        <v>511</v>
      </c>
      <c r="F39" s="161">
        <v>65</v>
      </c>
      <c r="G39" s="167">
        <v>446</v>
      </c>
    </row>
    <row r="40" spans="2:7" ht="15" customHeight="1" x14ac:dyDescent="0.2">
      <c r="B40" s="58"/>
      <c r="C40" s="58"/>
      <c r="D40" s="169">
        <v>2017</v>
      </c>
      <c r="E40" s="167">
        <f>SUM(F40:G40)</f>
        <v>482</v>
      </c>
      <c r="F40" s="162">
        <v>56</v>
      </c>
      <c r="G40" s="167">
        <v>426</v>
      </c>
    </row>
    <row r="41" spans="2:7" ht="15" customHeight="1" x14ac:dyDescent="0.2">
      <c r="B41" s="58"/>
      <c r="C41" s="58"/>
      <c r="D41" s="169">
        <v>2018</v>
      </c>
      <c r="E41" s="167">
        <f>SUM(F41:G41)</f>
        <v>426</v>
      </c>
      <c r="F41" s="161">
        <v>51</v>
      </c>
      <c r="G41" s="167">
        <v>375</v>
      </c>
    </row>
    <row r="42" spans="2:7" ht="8.1" customHeight="1" x14ac:dyDescent="0.2">
      <c r="B42" s="58"/>
      <c r="C42" s="58"/>
      <c r="D42" s="169"/>
      <c r="E42" s="167"/>
      <c r="F42" s="162"/>
      <c r="G42" s="167"/>
    </row>
    <row r="43" spans="2:7" ht="15" customHeight="1" x14ac:dyDescent="0.2">
      <c r="B43" s="58" t="s">
        <v>15</v>
      </c>
      <c r="C43" s="58"/>
      <c r="D43" s="169">
        <v>2016</v>
      </c>
      <c r="E43" s="167">
        <f>SUM(F43:G43)</f>
        <v>405</v>
      </c>
      <c r="F43" s="162">
        <v>65</v>
      </c>
      <c r="G43" s="167">
        <v>340</v>
      </c>
    </row>
    <row r="44" spans="2:7" ht="15" customHeight="1" x14ac:dyDescent="0.2">
      <c r="B44" s="58"/>
      <c r="C44" s="58"/>
      <c r="D44" s="169">
        <v>2017</v>
      </c>
      <c r="E44" s="167">
        <f>SUM(F44:G44)</f>
        <v>398</v>
      </c>
      <c r="F44" s="165">
        <v>61</v>
      </c>
      <c r="G44" s="167">
        <v>337</v>
      </c>
    </row>
    <row r="45" spans="2:7" ht="15" customHeight="1" x14ac:dyDescent="0.2">
      <c r="B45" s="58"/>
      <c r="C45" s="58"/>
      <c r="D45" s="169">
        <v>2018</v>
      </c>
      <c r="E45" s="167">
        <f>SUM(F45:G45)</f>
        <v>390</v>
      </c>
      <c r="F45" s="162">
        <v>48</v>
      </c>
      <c r="G45" s="167">
        <v>342</v>
      </c>
    </row>
    <row r="46" spans="2:7" ht="8.1" customHeight="1" x14ac:dyDescent="0.2">
      <c r="B46" s="58"/>
      <c r="C46" s="58"/>
      <c r="D46" s="169"/>
      <c r="E46" s="167"/>
      <c r="F46" s="161"/>
      <c r="G46" s="167"/>
    </row>
    <row r="47" spans="2:7" ht="15" customHeight="1" x14ac:dyDescent="0.2">
      <c r="B47" s="58" t="s">
        <v>16</v>
      </c>
      <c r="C47" s="58"/>
      <c r="D47" s="169">
        <v>2016</v>
      </c>
      <c r="E47" s="167">
        <f>SUM(F47:G47)</f>
        <v>270</v>
      </c>
      <c r="F47" s="165">
        <v>34</v>
      </c>
      <c r="G47" s="167">
        <v>236</v>
      </c>
    </row>
    <row r="48" spans="2:7" ht="15" customHeight="1" x14ac:dyDescent="0.2">
      <c r="B48" s="58"/>
      <c r="C48" s="58"/>
      <c r="D48" s="169">
        <v>2017</v>
      </c>
      <c r="E48" s="167">
        <f>SUM(F48:G48)</f>
        <v>264</v>
      </c>
      <c r="F48" s="165">
        <v>55</v>
      </c>
      <c r="G48" s="167">
        <v>209</v>
      </c>
    </row>
    <row r="49" spans="1:15" ht="15" customHeight="1" x14ac:dyDescent="0.2">
      <c r="B49" s="58"/>
      <c r="C49" s="58"/>
      <c r="D49" s="169">
        <v>2018</v>
      </c>
      <c r="E49" s="167">
        <f>SUM(F49:G49)</f>
        <v>216</v>
      </c>
      <c r="F49" s="165">
        <v>51</v>
      </c>
      <c r="G49" s="167">
        <v>165</v>
      </c>
    </row>
    <row r="50" spans="1:15" ht="8.1" customHeight="1" x14ac:dyDescent="0.2">
      <c r="B50" s="58"/>
      <c r="C50" s="58"/>
      <c r="D50" s="169"/>
      <c r="E50" s="167"/>
      <c r="F50" s="162"/>
      <c r="G50" s="167"/>
    </row>
    <row r="51" spans="1:15" s="7" customFormat="1" ht="15" customHeight="1" x14ac:dyDescent="0.2">
      <c r="B51" s="58" t="s">
        <v>17</v>
      </c>
      <c r="C51" s="58"/>
      <c r="D51" s="169">
        <v>2016</v>
      </c>
      <c r="E51" s="167">
        <f>SUM(F51:G51)</f>
        <v>358</v>
      </c>
      <c r="F51" s="162">
        <v>49</v>
      </c>
      <c r="G51" s="167">
        <v>309</v>
      </c>
      <c r="O51" s="2"/>
    </row>
    <row r="52" spans="1:15" s="7" customFormat="1" ht="15" customHeight="1" x14ac:dyDescent="0.2">
      <c r="B52" s="58"/>
      <c r="C52" s="58"/>
      <c r="D52" s="169">
        <v>2017</v>
      </c>
      <c r="E52" s="167">
        <f>SUM(F52:G52)</f>
        <v>351</v>
      </c>
      <c r="F52" s="161">
        <v>62</v>
      </c>
      <c r="G52" s="167">
        <v>289</v>
      </c>
      <c r="O52" s="2"/>
    </row>
    <row r="53" spans="1:15" s="7" customFormat="1" ht="15" customHeight="1" x14ac:dyDescent="0.2">
      <c r="B53" s="58"/>
      <c r="C53" s="58"/>
      <c r="D53" s="169">
        <v>2018</v>
      </c>
      <c r="E53" s="167">
        <f>SUM(F53:G53)</f>
        <v>330</v>
      </c>
      <c r="F53" s="162">
        <v>61</v>
      </c>
      <c r="G53" s="167">
        <v>269</v>
      </c>
      <c r="O53" s="2"/>
    </row>
    <row r="54" spans="1:15" ht="8.1" customHeight="1" thickBot="1" x14ac:dyDescent="0.3">
      <c r="A54" s="34"/>
      <c r="B54" s="74"/>
      <c r="C54" s="74"/>
      <c r="D54" s="140"/>
      <c r="E54" s="75"/>
      <c r="F54" s="76"/>
      <c r="G54" s="178"/>
      <c r="H54" s="34"/>
    </row>
    <row r="55" spans="1:15" x14ac:dyDescent="0.25">
      <c r="D55" s="133"/>
      <c r="G55" s="175" t="s">
        <v>101</v>
      </c>
    </row>
    <row r="56" spans="1:15" x14ac:dyDescent="0.25">
      <c r="D56" s="133"/>
      <c r="G56" s="176" t="s">
        <v>1</v>
      </c>
    </row>
    <row r="57" spans="1:15" x14ac:dyDescent="0.25">
      <c r="D57" s="133"/>
    </row>
    <row r="58" spans="1:15" x14ac:dyDescent="0.25">
      <c r="D58" s="133"/>
    </row>
    <row r="59" spans="1:15" x14ac:dyDescent="0.25">
      <c r="D59" s="133"/>
    </row>
    <row r="60" spans="1:15" x14ac:dyDescent="0.25">
      <c r="D60" s="133"/>
    </row>
    <row r="61" spans="1:15" x14ac:dyDescent="0.25">
      <c r="D61" s="133"/>
    </row>
    <row r="62" spans="1:15" x14ac:dyDescent="0.25">
      <c r="D62" s="133"/>
    </row>
    <row r="63" spans="1:15" x14ac:dyDescent="0.25">
      <c r="D63" s="133"/>
    </row>
    <row r="64" spans="1:15" x14ac:dyDescent="0.25">
      <c r="D64" s="133"/>
    </row>
    <row r="65" spans="4:4" x14ac:dyDescent="0.25">
      <c r="D65" s="133"/>
    </row>
    <row r="66" spans="4:4" x14ac:dyDescent="0.25">
      <c r="D66" s="133"/>
    </row>
    <row r="67" spans="4:4" x14ac:dyDescent="0.25">
      <c r="D67" s="133"/>
    </row>
    <row r="68" spans="4:4" x14ac:dyDescent="0.25">
      <c r="D68" s="133"/>
    </row>
    <row r="69" spans="4:4" x14ac:dyDescent="0.25">
      <c r="D69" s="133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tabSelected="1" topLeftCell="A10" zoomScale="90" zoomScaleNormal="9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0.85546875" style="3" customWidth="1"/>
    <col min="3" max="3" width="12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74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172"/>
    </row>
    <row r="4" spans="1:8" s="30" customFormat="1" ht="12" customHeight="1" x14ac:dyDescent="0.25">
      <c r="B4" s="27"/>
      <c r="C4" s="27"/>
      <c r="D4" s="27"/>
      <c r="E4" s="28"/>
      <c r="F4" s="29"/>
      <c r="G4" s="172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61" t="s">
        <v>96</v>
      </c>
      <c r="H8" s="347"/>
    </row>
    <row r="9" spans="1:8" s="53" customFormat="1" ht="33" customHeight="1" x14ac:dyDescent="0.2">
      <c r="A9" s="348"/>
      <c r="B9" s="464"/>
      <c r="C9" s="464"/>
      <c r="D9" s="458"/>
      <c r="E9" s="458"/>
      <c r="F9" s="460"/>
      <c r="G9" s="462"/>
      <c r="H9" s="344"/>
    </row>
    <row r="10" spans="1:8" s="53" customFormat="1" ht="6.95" customHeight="1" x14ac:dyDescent="0.2">
      <c r="A10" s="89"/>
      <c r="B10" s="90"/>
      <c r="C10" s="90"/>
      <c r="D10" s="91"/>
      <c r="E10" s="91"/>
      <c r="F10" s="92"/>
      <c r="G10" s="179"/>
      <c r="H10" s="93"/>
    </row>
    <row r="11" spans="1:8" s="6" customFormat="1" ht="15" customHeight="1" x14ac:dyDescent="0.25">
      <c r="B11" s="64" t="s">
        <v>179</v>
      </c>
      <c r="C11" s="64"/>
      <c r="D11" s="227">
        <v>2016</v>
      </c>
      <c r="E11" s="166">
        <f>E15+E19+E23</f>
        <v>3664</v>
      </c>
      <c r="F11" s="166">
        <v>1154</v>
      </c>
      <c r="G11" s="166">
        <v>2510</v>
      </c>
    </row>
    <row r="12" spans="1:8" s="6" customFormat="1" ht="15" customHeight="1" x14ac:dyDescent="0.25">
      <c r="B12" s="64"/>
      <c r="C12" s="64"/>
      <c r="D12" s="227">
        <v>2017</v>
      </c>
      <c r="E12" s="166">
        <f t="shared" ref="E12" si="0">E16+E20+E24</f>
        <v>3097</v>
      </c>
      <c r="F12" s="166">
        <v>842</v>
      </c>
      <c r="G12" s="166">
        <v>2255</v>
      </c>
    </row>
    <row r="13" spans="1:8" s="6" customFormat="1" ht="15" customHeight="1" x14ac:dyDescent="0.25">
      <c r="B13" s="64"/>
      <c r="C13" s="64"/>
      <c r="D13" s="227">
        <v>2018</v>
      </c>
      <c r="E13" s="166">
        <f>F13+G13</f>
        <v>2800</v>
      </c>
      <c r="F13" s="166">
        <v>621</v>
      </c>
      <c r="G13" s="166">
        <v>2179</v>
      </c>
    </row>
    <row r="14" spans="1:8" s="6" customFormat="1" ht="6.95" customHeight="1" x14ac:dyDescent="0.25">
      <c r="B14" s="13"/>
      <c r="C14" s="13"/>
      <c r="D14" s="227"/>
      <c r="E14" s="9"/>
      <c r="F14" s="9"/>
      <c r="G14" s="9"/>
    </row>
    <row r="15" spans="1:8" ht="15" customHeight="1" x14ac:dyDescent="0.2">
      <c r="B15" s="58" t="s">
        <v>21</v>
      </c>
      <c r="C15" s="58"/>
      <c r="D15" s="230">
        <v>2016</v>
      </c>
      <c r="E15" s="167">
        <f>SUM(F15:G15)</f>
        <v>436</v>
      </c>
      <c r="F15" s="167">
        <v>115</v>
      </c>
      <c r="G15" s="167">
        <v>321</v>
      </c>
    </row>
    <row r="16" spans="1:8" ht="15" customHeight="1" x14ac:dyDescent="0.2">
      <c r="B16" s="58"/>
      <c r="C16" s="58"/>
      <c r="D16" s="230">
        <v>2017</v>
      </c>
      <c r="E16" s="167">
        <f>SUM(F16:G16)</f>
        <v>376</v>
      </c>
      <c r="F16" s="167">
        <v>80</v>
      </c>
      <c r="G16" s="167">
        <v>296</v>
      </c>
    </row>
    <row r="17" spans="1:10" ht="15" customHeight="1" x14ac:dyDescent="0.2">
      <c r="B17" s="58"/>
      <c r="C17" s="58"/>
      <c r="D17" s="230">
        <v>2018</v>
      </c>
      <c r="E17" s="167">
        <f>F17+G17</f>
        <v>334</v>
      </c>
      <c r="F17" s="167">
        <v>67</v>
      </c>
      <c r="G17" s="167">
        <v>267</v>
      </c>
    </row>
    <row r="18" spans="1:10" ht="6.95" customHeight="1" x14ac:dyDescent="0.2">
      <c r="B18" s="58"/>
      <c r="C18" s="58"/>
      <c r="D18" s="230"/>
      <c r="E18" s="167"/>
      <c r="F18" s="167"/>
      <c r="G18" s="167"/>
    </row>
    <row r="19" spans="1:10" ht="15" customHeight="1" x14ac:dyDescent="0.2">
      <c r="B19" s="58" t="s">
        <v>22</v>
      </c>
      <c r="C19" s="58"/>
      <c r="D19" s="230">
        <v>2016</v>
      </c>
      <c r="E19" s="167">
        <f>SUM(F19:G19)</f>
        <v>254</v>
      </c>
      <c r="F19" s="167">
        <v>56</v>
      </c>
      <c r="G19" s="167">
        <v>198</v>
      </c>
    </row>
    <row r="20" spans="1:10" ht="15" customHeight="1" x14ac:dyDescent="0.2">
      <c r="B20" s="58"/>
      <c r="C20" s="58"/>
      <c r="D20" s="230">
        <v>2017</v>
      </c>
      <c r="E20" s="167">
        <f>SUM(F20:G20)</f>
        <v>258</v>
      </c>
      <c r="F20" s="165">
        <v>67</v>
      </c>
      <c r="G20" s="167">
        <v>191</v>
      </c>
    </row>
    <row r="21" spans="1:10" ht="15" customHeight="1" x14ac:dyDescent="0.2">
      <c r="B21" s="58"/>
      <c r="C21" s="58"/>
      <c r="D21" s="230">
        <v>2018</v>
      </c>
      <c r="E21" s="167">
        <f>F21+G21</f>
        <v>230</v>
      </c>
      <c r="F21" s="167">
        <v>39</v>
      </c>
      <c r="G21" s="167">
        <v>191</v>
      </c>
    </row>
    <row r="22" spans="1:10" ht="6.95" customHeight="1" x14ac:dyDescent="0.2">
      <c r="B22" s="58"/>
      <c r="C22" s="58"/>
      <c r="D22" s="230"/>
      <c r="E22" s="167"/>
      <c r="F22" s="167"/>
      <c r="G22" s="167"/>
    </row>
    <row r="23" spans="1:10" ht="15" customHeight="1" x14ac:dyDescent="0.2">
      <c r="B23" s="58" t="s">
        <v>23</v>
      </c>
      <c r="C23" s="58"/>
      <c r="D23" s="230">
        <v>2016</v>
      </c>
      <c r="E23" s="167">
        <f>SUM(F23:G23)</f>
        <v>2974</v>
      </c>
      <c r="F23" s="167">
        <v>983</v>
      </c>
      <c r="G23" s="167">
        <v>1991</v>
      </c>
    </row>
    <row r="24" spans="1:10" ht="15" customHeight="1" x14ac:dyDescent="0.2">
      <c r="B24" s="58"/>
      <c r="C24" s="58"/>
      <c r="D24" s="230">
        <v>2017</v>
      </c>
      <c r="E24" s="167">
        <f>SUM(F24:G24)</f>
        <v>2463</v>
      </c>
      <c r="F24" s="167">
        <v>695</v>
      </c>
      <c r="G24" s="167">
        <v>1768</v>
      </c>
    </row>
    <row r="25" spans="1:10" ht="15" customHeight="1" x14ac:dyDescent="0.2">
      <c r="B25" s="58"/>
      <c r="C25" s="58"/>
      <c r="D25" s="230">
        <v>2018</v>
      </c>
      <c r="E25" s="167">
        <f>F25+G25</f>
        <v>2236</v>
      </c>
      <c r="F25" s="167">
        <v>515</v>
      </c>
      <c r="G25" s="167">
        <v>1721</v>
      </c>
    </row>
    <row r="26" spans="1:10" ht="6.95" customHeight="1" x14ac:dyDescent="0.2">
      <c r="A26" s="35"/>
      <c r="B26" s="77"/>
      <c r="C26" s="77"/>
      <c r="D26" s="261"/>
      <c r="E26" s="78"/>
      <c r="F26" s="78"/>
      <c r="G26" s="78"/>
    </row>
    <row r="27" spans="1:10" ht="6.95" customHeight="1" x14ac:dyDescent="0.2">
      <c r="B27" s="79"/>
      <c r="C27" s="79"/>
      <c r="D27" s="337"/>
      <c r="E27" s="80"/>
      <c r="F27" s="80"/>
      <c r="G27" s="80"/>
      <c r="H27" s="81"/>
    </row>
    <row r="28" spans="1:10" s="6" customFormat="1" ht="15" customHeight="1" x14ac:dyDescent="0.25">
      <c r="B28" s="64" t="s">
        <v>31</v>
      </c>
      <c r="C28" s="64"/>
      <c r="D28" s="227">
        <v>2016</v>
      </c>
      <c r="E28" s="166">
        <f>E32+E36+E40+E44+E48+E52+E56+E60</f>
        <v>4474</v>
      </c>
      <c r="F28" s="143">
        <f>SUM(F32,F36,F40,F44,F48,F52,F56,F60)</f>
        <v>1084</v>
      </c>
      <c r="G28" s="166">
        <v>3390</v>
      </c>
      <c r="H28" s="24"/>
      <c r="I28" s="42"/>
    </row>
    <row r="29" spans="1:10" s="6" customFormat="1" ht="15" customHeight="1" x14ac:dyDescent="0.25">
      <c r="B29" s="64"/>
      <c r="C29" s="64"/>
      <c r="D29" s="227">
        <v>2017</v>
      </c>
      <c r="E29" s="166">
        <f t="shared" ref="E29" si="1">E33+E37+E41+E45+E49+E53+E57+E61</f>
        <v>3973</v>
      </c>
      <c r="F29" s="143">
        <f>SUM(F33,F37,F41,F45,F49,F53,F57,F61)</f>
        <v>884</v>
      </c>
      <c r="G29" s="166">
        <v>3089</v>
      </c>
      <c r="H29" s="24"/>
      <c r="I29" s="42"/>
    </row>
    <row r="30" spans="1:10" s="6" customFormat="1" ht="15" customHeight="1" x14ac:dyDescent="0.25">
      <c r="B30" s="64"/>
      <c r="C30" s="64"/>
      <c r="D30" s="227">
        <v>2018</v>
      </c>
      <c r="E30" s="166">
        <f>F30+G30</f>
        <v>3673</v>
      </c>
      <c r="F30" s="143">
        <f>SUM(F34,F38,F42,F46,F50,F54,F58,F62)</f>
        <v>831</v>
      </c>
      <c r="G30" s="143">
        <v>2842</v>
      </c>
      <c r="H30" s="24"/>
      <c r="I30" s="42"/>
    </row>
    <row r="31" spans="1:10" ht="8.1" customHeight="1" x14ac:dyDescent="0.2">
      <c r="B31" s="64"/>
      <c r="C31" s="64"/>
      <c r="D31" s="227"/>
      <c r="E31" s="166"/>
      <c r="F31" s="166"/>
      <c r="G31" s="166"/>
      <c r="H31" s="7"/>
      <c r="I31" s="15"/>
      <c r="J31" s="15"/>
    </row>
    <row r="32" spans="1:10" ht="15" customHeight="1" x14ac:dyDescent="0.2">
      <c r="B32" s="58" t="s">
        <v>24</v>
      </c>
      <c r="C32" s="58"/>
      <c r="D32" s="230">
        <v>2016</v>
      </c>
      <c r="E32" s="167">
        <f>SUM(F32:G32)</f>
        <v>85</v>
      </c>
      <c r="F32" s="165">
        <v>18</v>
      </c>
      <c r="G32" s="167">
        <v>67</v>
      </c>
      <c r="H32" s="7"/>
      <c r="I32" s="15"/>
    </row>
    <row r="33" spans="1:12" ht="15" customHeight="1" x14ac:dyDescent="0.2">
      <c r="B33" s="58"/>
      <c r="C33" s="58"/>
      <c r="D33" s="230">
        <v>2017</v>
      </c>
      <c r="E33" s="167">
        <f t="shared" ref="E33:E34" si="2">SUM(F33:G33)</f>
        <v>75</v>
      </c>
      <c r="F33" s="165">
        <v>19</v>
      </c>
      <c r="G33" s="167">
        <v>56</v>
      </c>
      <c r="H33" s="7"/>
      <c r="I33" s="15"/>
    </row>
    <row r="34" spans="1:12" ht="15" customHeight="1" x14ac:dyDescent="0.2">
      <c r="B34" s="58"/>
      <c r="C34" s="58"/>
      <c r="D34" s="230">
        <v>2018</v>
      </c>
      <c r="E34" s="167">
        <f t="shared" si="2"/>
        <v>71</v>
      </c>
      <c r="F34" s="165">
        <v>13</v>
      </c>
      <c r="G34" s="167">
        <v>58</v>
      </c>
      <c r="H34" s="7"/>
      <c r="I34" s="15"/>
    </row>
    <row r="35" spans="1:12" ht="6.95" customHeight="1" x14ac:dyDescent="0.2">
      <c r="B35" s="58"/>
      <c r="C35" s="58"/>
      <c r="D35" s="230"/>
      <c r="E35" s="167"/>
      <c r="F35" s="165"/>
      <c r="G35" s="167"/>
      <c r="H35" s="7"/>
      <c r="I35" s="15"/>
    </row>
    <row r="36" spans="1:12" ht="15" customHeight="1" x14ac:dyDescent="0.2">
      <c r="B36" s="58" t="s">
        <v>30</v>
      </c>
      <c r="C36" s="58"/>
      <c r="D36" s="230">
        <v>2016</v>
      </c>
      <c r="E36" s="167">
        <f>SUM(F36:G36)</f>
        <v>272</v>
      </c>
      <c r="F36" s="167">
        <v>61</v>
      </c>
      <c r="G36" s="167">
        <v>211</v>
      </c>
      <c r="H36" s="7"/>
      <c r="I36" s="15"/>
    </row>
    <row r="37" spans="1:12" ht="15" customHeight="1" x14ac:dyDescent="0.2">
      <c r="B37" s="58"/>
      <c r="C37" s="58"/>
      <c r="D37" s="230">
        <v>2017</v>
      </c>
      <c r="E37" s="167">
        <f t="shared" ref="E37:E38" si="3">SUM(F37:G37)</f>
        <v>245</v>
      </c>
      <c r="F37" s="165">
        <v>69</v>
      </c>
      <c r="G37" s="167">
        <v>176</v>
      </c>
      <c r="H37" s="7"/>
      <c r="I37" s="15"/>
    </row>
    <row r="38" spans="1:12" ht="15" customHeight="1" x14ac:dyDescent="0.2">
      <c r="B38" s="58"/>
      <c r="C38" s="58"/>
      <c r="D38" s="230">
        <v>2018</v>
      </c>
      <c r="E38" s="167">
        <f t="shared" si="3"/>
        <v>240</v>
      </c>
      <c r="F38" s="167">
        <v>51</v>
      </c>
      <c r="G38" s="167">
        <v>189</v>
      </c>
      <c r="H38" s="7"/>
      <c r="I38" s="15"/>
    </row>
    <row r="39" spans="1:12" ht="6.95" customHeight="1" x14ac:dyDescent="0.2">
      <c r="B39" s="58"/>
      <c r="C39" s="58"/>
      <c r="D39" s="230"/>
      <c r="E39" s="167"/>
      <c r="F39" s="167"/>
      <c r="G39" s="167"/>
      <c r="H39" s="7"/>
      <c r="I39" s="15"/>
    </row>
    <row r="40" spans="1:12" ht="15" customHeight="1" x14ac:dyDescent="0.2">
      <c r="B40" s="58" t="s">
        <v>25</v>
      </c>
      <c r="C40" s="58"/>
      <c r="D40" s="230">
        <v>2016</v>
      </c>
      <c r="E40" s="167">
        <f>SUM(F40:G40)</f>
        <v>279</v>
      </c>
      <c r="F40" s="165">
        <v>55</v>
      </c>
      <c r="G40" s="167">
        <v>224</v>
      </c>
      <c r="H40" s="7"/>
      <c r="I40" s="15"/>
    </row>
    <row r="41" spans="1:12" ht="15" customHeight="1" x14ac:dyDescent="0.2">
      <c r="A41" s="7"/>
      <c r="B41" s="58"/>
      <c r="C41" s="58"/>
      <c r="D41" s="230">
        <v>2017</v>
      </c>
      <c r="E41" s="167">
        <f t="shared" ref="E41:E42" si="4">SUM(F41:G41)</f>
        <v>248</v>
      </c>
      <c r="F41" s="165">
        <v>50</v>
      </c>
      <c r="G41" s="167">
        <v>198</v>
      </c>
      <c r="H41" s="7"/>
      <c r="I41" s="15"/>
    </row>
    <row r="42" spans="1:12" ht="15" customHeight="1" x14ac:dyDescent="0.2">
      <c r="B42" s="58"/>
      <c r="C42" s="58"/>
      <c r="D42" s="230">
        <v>2018</v>
      </c>
      <c r="E42" s="167">
        <f t="shared" si="4"/>
        <v>195</v>
      </c>
      <c r="F42" s="165">
        <v>34</v>
      </c>
      <c r="G42" s="167">
        <v>161</v>
      </c>
      <c r="H42" s="7"/>
    </row>
    <row r="43" spans="1:12" ht="6.95" customHeight="1" x14ac:dyDescent="0.2">
      <c r="B43" s="58"/>
      <c r="C43" s="58"/>
      <c r="D43" s="230"/>
      <c r="E43" s="167"/>
      <c r="F43" s="165"/>
      <c r="G43" s="167"/>
      <c r="H43" s="7"/>
    </row>
    <row r="44" spans="1:12" ht="15" customHeight="1" x14ac:dyDescent="0.2">
      <c r="B44" s="58" t="s">
        <v>68</v>
      </c>
      <c r="C44" s="58"/>
      <c r="D44" s="230">
        <v>2016</v>
      </c>
      <c r="E44" s="167">
        <f>SUM(F44:G44)</f>
        <v>1244</v>
      </c>
      <c r="F44" s="167">
        <v>359</v>
      </c>
      <c r="G44" s="167">
        <v>885</v>
      </c>
      <c r="H44" s="7"/>
    </row>
    <row r="45" spans="1:12" ht="15" customHeight="1" x14ac:dyDescent="0.2">
      <c r="B45" s="58"/>
      <c r="C45" s="58"/>
      <c r="D45" s="230">
        <v>2017</v>
      </c>
      <c r="E45" s="167">
        <f t="shared" ref="E45:E46" si="5">SUM(F45:G45)</f>
        <v>1169</v>
      </c>
      <c r="F45" s="167">
        <v>276</v>
      </c>
      <c r="G45" s="167">
        <v>893</v>
      </c>
      <c r="H45" s="7"/>
    </row>
    <row r="46" spans="1:12" ht="15" customHeight="1" x14ac:dyDescent="0.2">
      <c r="B46" s="58"/>
      <c r="C46" s="58"/>
      <c r="D46" s="230">
        <v>2018</v>
      </c>
      <c r="E46" s="167">
        <f t="shared" si="5"/>
        <v>983</v>
      </c>
      <c r="F46" s="167">
        <v>261</v>
      </c>
      <c r="G46" s="167">
        <v>722</v>
      </c>
      <c r="H46" s="7"/>
    </row>
    <row r="47" spans="1:12" ht="6.95" customHeight="1" x14ac:dyDescent="0.2">
      <c r="B47" s="58"/>
      <c r="C47" s="58"/>
      <c r="D47" s="230"/>
      <c r="E47" s="167"/>
      <c r="F47" s="167"/>
      <c r="G47" s="167"/>
      <c r="H47" s="7"/>
    </row>
    <row r="48" spans="1:12" s="3" customFormat="1" ht="15" customHeight="1" x14ac:dyDescent="0.2">
      <c r="B48" s="58" t="s">
        <v>26</v>
      </c>
      <c r="C48" s="58"/>
      <c r="D48" s="230">
        <v>2016</v>
      </c>
      <c r="E48" s="167">
        <f>SUM(F48:G48)</f>
        <v>388</v>
      </c>
      <c r="F48" s="167">
        <v>110</v>
      </c>
      <c r="G48" s="167">
        <v>278</v>
      </c>
      <c r="H48" s="7"/>
      <c r="I48" s="2"/>
      <c r="J48" s="2"/>
      <c r="K48" s="2"/>
      <c r="L48" s="2"/>
    </row>
    <row r="49" spans="1:8" ht="15" customHeight="1" x14ac:dyDescent="0.2">
      <c r="B49" s="58"/>
      <c r="C49" s="58"/>
      <c r="D49" s="230">
        <v>2017</v>
      </c>
      <c r="E49" s="167">
        <f t="shared" ref="E49:E50" si="6">SUM(F49:G49)</f>
        <v>342</v>
      </c>
      <c r="F49" s="167">
        <v>84</v>
      </c>
      <c r="G49" s="167">
        <v>258</v>
      </c>
      <c r="H49" s="7"/>
    </row>
    <row r="50" spans="1:8" ht="15" customHeight="1" x14ac:dyDescent="0.2">
      <c r="B50" s="58"/>
      <c r="C50" s="58"/>
      <c r="D50" s="230">
        <v>2018</v>
      </c>
      <c r="E50" s="167">
        <f t="shared" si="6"/>
        <v>386</v>
      </c>
      <c r="F50" s="167">
        <v>96</v>
      </c>
      <c r="G50" s="167">
        <v>290</v>
      </c>
      <c r="H50" s="7"/>
    </row>
    <row r="51" spans="1:8" ht="6.95" customHeight="1" x14ac:dyDescent="0.2">
      <c r="B51" s="58"/>
      <c r="C51" s="58"/>
      <c r="D51" s="230"/>
      <c r="E51" s="167"/>
      <c r="F51" s="167"/>
      <c r="G51" s="167"/>
      <c r="H51" s="7"/>
    </row>
    <row r="52" spans="1:8" ht="15" customHeight="1" x14ac:dyDescent="0.2">
      <c r="B52" s="58" t="s">
        <v>27</v>
      </c>
      <c r="C52" s="58"/>
      <c r="D52" s="230">
        <v>2016</v>
      </c>
      <c r="E52" s="167">
        <f>SUM(F52:G52)</f>
        <v>171</v>
      </c>
      <c r="F52" s="167">
        <v>32</v>
      </c>
      <c r="G52" s="167">
        <v>139</v>
      </c>
      <c r="H52" s="7"/>
    </row>
    <row r="53" spans="1:8" ht="15" customHeight="1" x14ac:dyDescent="0.2">
      <c r="B53" s="58"/>
      <c r="C53" s="58"/>
      <c r="D53" s="230">
        <v>2017</v>
      </c>
      <c r="E53" s="167">
        <f>SUM(F53:G53)</f>
        <v>154</v>
      </c>
      <c r="F53" s="167">
        <v>16</v>
      </c>
      <c r="G53" s="167">
        <v>138</v>
      </c>
      <c r="H53" s="7"/>
    </row>
    <row r="54" spans="1:8" ht="15" customHeight="1" x14ac:dyDescent="0.2">
      <c r="B54" s="58"/>
      <c r="C54" s="58"/>
      <c r="D54" s="230">
        <v>2018</v>
      </c>
      <c r="E54" s="167">
        <f>SUM(F54:G54)</f>
        <v>158</v>
      </c>
      <c r="F54" s="167">
        <v>31</v>
      </c>
      <c r="G54" s="167">
        <v>127</v>
      </c>
      <c r="H54" s="7"/>
    </row>
    <row r="55" spans="1:8" ht="6.95" customHeight="1" x14ac:dyDescent="0.2">
      <c r="B55" s="58"/>
      <c r="C55" s="58"/>
      <c r="D55" s="230"/>
      <c r="E55" s="167"/>
      <c r="F55" s="167"/>
      <c r="G55" s="167"/>
      <c r="H55" s="7"/>
    </row>
    <row r="56" spans="1:8" ht="15" customHeight="1" x14ac:dyDescent="0.2">
      <c r="B56" s="58" t="s">
        <v>28</v>
      </c>
      <c r="C56" s="58"/>
      <c r="D56" s="230">
        <v>2016</v>
      </c>
      <c r="E56" s="167">
        <f>SUM(F56:G56)</f>
        <v>1741</v>
      </c>
      <c r="F56" s="167">
        <v>386</v>
      </c>
      <c r="G56" s="167">
        <v>1355</v>
      </c>
      <c r="H56" s="7"/>
    </row>
    <row r="57" spans="1:8" ht="15" customHeight="1" x14ac:dyDescent="0.2">
      <c r="B57" s="58"/>
      <c r="C57" s="58"/>
      <c r="D57" s="230">
        <v>2017</v>
      </c>
      <c r="E57" s="167">
        <f>SUM(F57:G57)</f>
        <v>1530</v>
      </c>
      <c r="F57" s="167">
        <v>331</v>
      </c>
      <c r="G57" s="167">
        <v>1199</v>
      </c>
      <c r="H57" s="7"/>
    </row>
    <row r="58" spans="1:8" ht="15" customHeight="1" x14ac:dyDescent="0.2">
      <c r="B58" s="58"/>
      <c r="C58" s="58"/>
      <c r="D58" s="230">
        <v>2018</v>
      </c>
      <c r="E58" s="167">
        <f>SUM(F58:G58)</f>
        <v>1428</v>
      </c>
      <c r="F58" s="167">
        <v>310</v>
      </c>
      <c r="G58" s="167">
        <v>1118</v>
      </c>
      <c r="H58" s="7"/>
    </row>
    <row r="59" spans="1:8" ht="6.95" customHeight="1" x14ac:dyDescent="0.2">
      <c r="B59" s="58"/>
      <c r="C59" s="58"/>
      <c r="D59" s="230"/>
      <c r="E59" s="167"/>
      <c r="F59" s="167"/>
      <c r="G59" s="167"/>
      <c r="H59" s="7"/>
    </row>
    <row r="60" spans="1:8" ht="15" customHeight="1" x14ac:dyDescent="0.2">
      <c r="B60" s="58" t="s">
        <v>29</v>
      </c>
      <c r="C60" s="58"/>
      <c r="D60" s="230">
        <v>2016</v>
      </c>
      <c r="E60" s="167">
        <f>SUM(F60:G60)</f>
        <v>294</v>
      </c>
      <c r="F60" s="167">
        <v>63</v>
      </c>
      <c r="G60" s="167">
        <v>231</v>
      </c>
      <c r="H60" s="7"/>
    </row>
    <row r="61" spans="1:8" ht="15" customHeight="1" x14ac:dyDescent="0.2">
      <c r="B61" s="58"/>
      <c r="C61" s="58"/>
      <c r="D61" s="230">
        <v>2017</v>
      </c>
      <c r="E61" s="167">
        <f>SUM(F61:G61)</f>
        <v>210</v>
      </c>
      <c r="F61" s="165">
        <v>39</v>
      </c>
      <c r="G61" s="167">
        <v>171</v>
      </c>
      <c r="H61" s="7"/>
    </row>
    <row r="62" spans="1:8" ht="15" customHeight="1" x14ac:dyDescent="0.2">
      <c r="B62" s="58"/>
      <c r="C62" s="58"/>
      <c r="D62" s="230">
        <v>2018</v>
      </c>
      <c r="E62" s="167">
        <f>SUM(F62:G62)</f>
        <v>212</v>
      </c>
      <c r="F62" s="167">
        <v>35</v>
      </c>
      <c r="G62" s="167">
        <v>177</v>
      </c>
      <c r="H62" s="7"/>
    </row>
    <row r="63" spans="1:8" ht="6.95" customHeight="1" thickBot="1" x14ac:dyDescent="0.25">
      <c r="A63" s="34"/>
      <c r="B63" s="16"/>
      <c r="C63" s="16"/>
      <c r="D63" s="134"/>
      <c r="E63" s="26"/>
      <c r="F63" s="12"/>
      <c r="G63" s="12"/>
      <c r="H63" s="34"/>
    </row>
    <row r="64" spans="1:8" x14ac:dyDescent="0.25">
      <c r="D64" s="133"/>
      <c r="E64" s="3"/>
      <c r="F64" s="21"/>
      <c r="G64" s="175" t="s">
        <v>101</v>
      </c>
      <c r="H64" s="8" t="s">
        <v>0</v>
      </c>
    </row>
    <row r="65" spans="4:8" x14ac:dyDescent="0.25">
      <c r="D65" s="133"/>
      <c r="E65" s="3"/>
      <c r="F65" s="21"/>
      <c r="H65" s="41" t="s">
        <v>1</v>
      </c>
    </row>
    <row r="66" spans="4:8" x14ac:dyDescent="0.25">
      <c r="D66" s="133"/>
    </row>
    <row r="67" spans="4:8" x14ac:dyDescent="0.25">
      <c r="D67" s="133"/>
    </row>
    <row r="68" spans="4:8" x14ac:dyDescent="0.25">
      <c r="D68" s="133"/>
    </row>
    <row r="69" spans="4:8" x14ac:dyDescent="0.25">
      <c r="D69" s="133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tabSelected="1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0.85546875" style="2" customWidth="1"/>
    <col min="2" max="2" width="11.5703125" style="3" customWidth="1"/>
    <col min="3" max="3" width="12.28515625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74" customWidth="1"/>
    <col min="8" max="8" width="0.85546875" style="2" customWidth="1"/>
    <col min="9" max="16384" width="9.140625" style="2"/>
  </cols>
  <sheetData>
    <row r="1" spans="1:9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9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9" s="30" customFormat="1" ht="12" customHeight="1" x14ac:dyDescent="0.25">
      <c r="B3" s="27"/>
      <c r="C3" s="27"/>
      <c r="D3" s="27"/>
      <c r="E3" s="28"/>
      <c r="F3" s="29"/>
      <c r="G3" s="172"/>
    </row>
    <row r="4" spans="1:9" s="30" customFormat="1" ht="12" customHeight="1" x14ac:dyDescent="0.25">
      <c r="B4" s="27"/>
      <c r="C4" s="27"/>
      <c r="D4" s="27"/>
      <c r="E4" s="28"/>
      <c r="F4" s="29"/>
      <c r="G4" s="172"/>
    </row>
    <row r="5" spans="1:9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9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9" ht="9.9499999999999993" customHeight="1" thickBot="1" x14ac:dyDescent="0.3"/>
    <row r="8" spans="1:9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61" t="s">
        <v>96</v>
      </c>
      <c r="H8" s="347"/>
    </row>
    <row r="9" spans="1:9" s="53" customFormat="1" ht="33" customHeight="1" x14ac:dyDescent="0.2">
      <c r="A9" s="348"/>
      <c r="B9" s="464"/>
      <c r="C9" s="464"/>
      <c r="D9" s="458"/>
      <c r="E9" s="458"/>
      <c r="F9" s="460"/>
      <c r="G9" s="462"/>
      <c r="H9" s="344"/>
    </row>
    <row r="10" spans="1:9" s="53" customFormat="1" ht="8.1" customHeight="1" x14ac:dyDescent="0.2">
      <c r="A10" s="89"/>
      <c r="B10" s="90"/>
      <c r="C10" s="90"/>
      <c r="D10" s="91"/>
      <c r="E10" s="91"/>
      <c r="F10" s="92"/>
      <c r="G10" s="179"/>
      <c r="H10" s="93"/>
    </row>
    <row r="11" spans="1:9" s="6" customFormat="1" ht="15" customHeight="1" x14ac:dyDescent="0.25">
      <c r="B11" s="64" t="s">
        <v>100</v>
      </c>
      <c r="C11" s="64"/>
      <c r="D11" s="310">
        <v>2016</v>
      </c>
      <c r="E11" s="166">
        <f>E15+E19+E23+E27+E31+E35+E39+E43+E47+E51+E55</f>
        <v>3777</v>
      </c>
      <c r="F11" s="166">
        <f>SUM(F15,F19,F23,F27,F31,F35,F39,F43,F47,F51,F55)</f>
        <v>651</v>
      </c>
      <c r="G11" s="166">
        <f>SUM(G15,G19,G23,G27,G31,G35,G39,G43,G47,G51,G55)</f>
        <v>3126</v>
      </c>
      <c r="I11" s="42"/>
    </row>
    <row r="12" spans="1:9" s="6" customFormat="1" ht="15" customHeight="1" x14ac:dyDescent="0.25">
      <c r="B12" s="64"/>
      <c r="C12" s="64"/>
      <c r="D12" s="310">
        <v>2017</v>
      </c>
      <c r="E12" s="166">
        <f t="shared" ref="E12" si="0">E16+E20+E24+E28+E32+E36+E40+E44+E48+E52+E56</f>
        <v>3607</v>
      </c>
      <c r="F12" s="166">
        <f>SUM(F16,F20,F24,F28,F32,F36,F40,F44,F48,F52,F56)</f>
        <v>656</v>
      </c>
      <c r="G12" s="166">
        <f t="shared" ref="F12:G13" si="1">SUM(G16,G20,G24,G28,G32,G36,G40,G44,G48,G52,G56)</f>
        <v>2951</v>
      </c>
      <c r="I12" s="42"/>
    </row>
    <row r="13" spans="1:9" s="6" customFormat="1" ht="15" customHeight="1" x14ac:dyDescent="0.25">
      <c r="B13" s="64"/>
      <c r="C13" s="64"/>
      <c r="D13" s="310">
        <v>2018</v>
      </c>
      <c r="E13" s="166">
        <f>F13+G13</f>
        <v>3584</v>
      </c>
      <c r="F13" s="166">
        <f t="shared" si="1"/>
        <v>572</v>
      </c>
      <c r="G13" s="166">
        <f t="shared" si="1"/>
        <v>3012</v>
      </c>
      <c r="I13" s="42"/>
    </row>
    <row r="14" spans="1:9" ht="8.1" customHeight="1" x14ac:dyDescent="0.2">
      <c r="B14" s="58"/>
      <c r="C14" s="58"/>
      <c r="D14" s="310"/>
      <c r="E14" s="167"/>
      <c r="F14" s="165"/>
      <c r="G14" s="167"/>
      <c r="I14" s="15"/>
    </row>
    <row r="15" spans="1:9" ht="15" customHeight="1" x14ac:dyDescent="0.2">
      <c r="B15" s="58" t="s">
        <v>32</v>
      </c>
      <c r="C15" s="58"/>
      <c r="D15" s="312">
        <v>2016</v>
      </c>
      <c r="E15" s="167">
        <f>SUM(F15:G15)</f>
        <v>399</v>
      </c>
      <c r="F15" s="167">
        <v>67</v>
      </c>
      <c r="G15" s="167">
        <v>332</v>
      </c>
      <c r="I15" s="15"/>
    </row>
    <row r="16" spans="1:9" ht="15" customHeight="1" x14ac:dyDescent="0.2">
      <c r="B16" s="58"/>
      <c r="C16" s="58"/>
      <c r="D16" s="312">
        <v>2017</v>
      </c>
      <c r="E16" s="167">
        <f t="shared" ref="E16:E17" si="2">SUM(F16:G16)</f>
        <v>327</v>
      </c>
      <c r="F16" s="167">
        <v>47</v>
      </c>
      <c r="G16" s="167">
        <v>280</v>
      </c>
      <c r="I16" s="15"/>
    </row>
    <row r="17" spans="1:12" ht="15" customHeight="1" x14ac:dyDescent="0.2">
      <c r="B17" s="58"/>
      <c r="C17" s="58"/>
      <c r="D17" s="312">
        <v>2018</v>
      </c>
      <c r="E17" s="167">
        <f t="shared" si="2"/>
        <v>536</v>
      </c>
      <c r="F17" s="167">
        <v>55</v>
      </c>
      <c r="G17" s="167">
        <v>481</v>
      </c>
      <c r="I17" s="15"/>
    </row>
    <row r="18" spans="1:12" ht="8.1" customHeight="1" x14ac:dyDescent="0.2">
      <c r="B18" s="58"/>
      <c r="C18" s="58"/>
      <c r="D18" s="312"/>
      <c r="E18" s="167"/>
      <c r="F18" s="165"/>
      <c r="G18" s="167"/>
      <c r="I18" s="15"/>
    </row>
    <row r="19" spans="1:12" ht="15" customHeight="1" x14ac:dyDescent="0.2">
      <c r="B19" s="58" t="s">
        <v>42</v>
      </c>
      <c r="C19" s="58"/>
      <c r="D19" s="312">
        <v>2016</v>
      </c>
      <c r="E19" s="167">
        <f>SUM(F19:G19)</f>
        <v>184</v>
      </c>
      <c r="F19" s="165">
        <v>31</v>
      </c>
      <c r="G19" s="167">
        <v>153</v>
      </c>
      <c r="I19" s="15"/>
    </row>
    <row r="20" spans="1:12" ht="15" customHeight="1" x14ac:dyDescent="0.2">
      <c r="A20" s="7"/>
      <c r="B20" s="58"/>
      <c r="C20" s="58"/>
      <c r="D20" s="312">
        <v>2017</v>
      </c>
      <c r="E20" s="167">
        <f t="shared" ref="E20:E21" si="3">SUM(F20:G20)</f>
        <v>140</v>
      </c>
      <c r="F20" s="165">
        <v>40</v>
      </c>
      <c r="G20" s="167">
        <v>100</v>
      </c>
      <c r="H20" s="7"/>
      <c r="I20" s="15"/>
    </row>
    <row r="21" spans="1:12" ht="15" customHeight="1" x14ac:dyDescent="0.2">
      <c r="A21" s="7"/>
      <c r="B21" s="58"/>
      <c r="C21" s="58"/>
      <c r="D21" s="312">
        <v>2018</v>
      </c>
      <c r="E21" s="167">
        <f t="shared" si="3"/>
        <v>130</v>
      </c>
      <c r="F21" s="165">
        <v>21</v>
      </c>
      <c r="G21" s="167">
        <v>109</v>
      </c>
      <c r="H21" s="7"/>
    </row>
    <row r="22" spans="1:12" ht="8.1" customHeight="1" x14ac:dyDescent="0.2">
      <c r="A22" s="7"/>
      <c r="B22" s="58"/>
      <c r="C22" s="58"/>
      <c r="D22" s="312"/>
      <c r="E22" s="167"/>
      <c r="F22" s="167"/>
      <c r="G22" s="167"/>
      <c r="H22" s="7"/>
    </row>
    <row r="23" spans="1:12" ht="15" customHeight="1" x14ac:dyDescent="0.2">
      <c r="A23" s="7"/>
      <c r="B23" s="58" t="s">
        <v>33</v>
      </c>
      <c r="C23" s="58"/>
      <c r="D23" s="312">
        <v>2016</v>
      </c>
      <c r="E23" s="167">
        <f>SUM(F23:G23)</f>
        <v>78</v>
      </c>
      <c r="F23" s="165">
        <v>19</v>
      </c>
      <c r="G23" s="167">
        <v>59</v>
      </c>
      <c r="H23" s="7"/>
    </row>
    <row r="24" spans="1:12" ht="15" customHeight="1" x14ac:dyDescent="0.2">
      <c r="B24" s="58"/>
      <c r="C24" s="58"/>
      <c r="D24" s="312">
        <v>2017</v>
      </c>
      <c r="E24" s="167">
        <f t="shared" ref="E24:E25" si="4">SUM(F24:G24)</f>
        <v>76</v>
      </c>
      <c r="F24" s="167">
        <v>13</v>
      </c>
      <c r="G24" s="167">
        <v>63</v>
      </c>
    </row>
    <row r="25" spans="1:12" ht="15" customHeight="1" x14ac:dyDescent="0.2">
      <c r="B25" s="58"/>
      <c r="C25" s="58"/>
      <c r="D25" s="312">
        <v>2018</v>
      </c>
      <c r="E25" s="167">
        <f t="shared" si="4"/>
        <v>66</v>
      </c>
      <c r="F25" s="165">
        <v>23</v>
      </c>
      <c r="G25" s="167">
        <v>43</v>
      </c>
    </row>
    <row r="26" spans="1:12" ht="8.1" customHeight="1" x14ac:dyDescent="0.2">
      <c r="B26" s="58"/>
      <c r="C26" s="58"/>
      <c r="D26" s="312"/>
      <c r="E26" s="167"/>
      <c r="F26" s="167"/>
      <c r="G26" s="167"/>
    </row>
    <row r="27" spans="1:12" ht="15" customHeight="1" x14ac:dyDescent="0.2">
      <c r="B27" s="58" t="s">
        <v>34</v>
      </c>
      <c r="C27" s="58"/>
      <c r="D27" s="312">
        <v>2016</v>
      </c>
      <c r="E27" s="167">
        <f>SUM(F27:G27)</f>
        <v>223</v>
      </c>
      <c r="F27" s="165">
        <v>47</v>
      </c>
      <c r="G27" s="167">
        <v>176</v>
      </c>
    </row>
    <row r="28" spans="1:12" ht="15" customHeight="1" x14ac:dyDescent="0.2">
      <c r="B28" s="58"/>
      <c r="C28" s="58"/>
      <c r="D28" s="312">
        <v>2017</v>
      </c>
      <c r="E28" s="167">
        <f t="shared" ref="E28:E29" si="5">SUM(F28:G28)</f>
        <v>193</v>
      </c>
      <c r="F28" s="167">
        <v>31</v>
      </c>
      <c r="G28" s="167">
        <v>162</v>
      </c>
    </row>
    <row r="29" spans="1:12" ht="15" customHeight="1" x14ac:dyDescent="0.2">
      <c r="B29" s="58"/>
      <c r="C29" s="58"/>
      <c r="D29" s="312">
        <v>2018</v>
      </c>
      <c r="E29" s="167">
        <f t="shared" si="5"/>
        <v>191</v>
      </c>
      <c r="F29" s="165">
        <v>35</v>
      </c>
      <c r="G29" s="167">
        <v>156</v>
      </c>
    </row>
    <row r="30" spans="1:12" ht="8.1" customHeight="1" x14ac:dyDescent="0.2">
      <c r="B30" s="58"/>
      <c r="C30" s="58"/>
      <c r="D30" s="312"/>
      <c r="E30" s="167"/>
      <c r="F30" s="167"/>
      <c r="G30" s="167"/>
    </row>
    <row r="31" spans="1:12" ht="15" customHeight="1" x14ac:dyDescent="0.2">
      <c r="B31" s="58" t="s">
        <v>36</v>
      </c>
      <c r="C31" s="58"/>
      <c r="D31" s="312">
        <v>2016</v>
      </c>
      <c r="E31" s="167">
        <f>SUM(F31:G31)</f>
        <v>136</v>
      </c>
      <c r="F31" s="165">
        <v>21</v>
      </c>
      <c r="G31" s="167">
        <v>115</v>
      </c>
    </row>
    <row r="32" spans="1:12" s="3" customFormat="1" ht="15" customHeight="1" x14ac:dyDescent="0.2">
      <c r="B32" s="58"/>
      <c r="C32" s="58"/>
      <c r="D32" s="312">
        <v>2017</v>
      </c>
      <c r="E32" s="167">
        <f t="shared" ref="E32:E33" si="6">SUM(F32:G32)</f>
        <v>125</v>
      </c>
      <c r="F32" s="167">
        <v>13</v>
      </c>
      <c r="G32" s="167">
        <v>112</v>
      </c>
      <c r="H32" s="2"/>
      <c r="I32" s="2"/>
      <c r="J32" s="2"/>
      <c r="K32" s="2"/>
      <c r="L32" s="2"/>
    </row>
    <row r="33" spans="2:7" ht="15" customHeight="1" x14ac:dyDescent="0.2">
      <c r="B33" s="58"/>
      <c r="C33" s="58"/>
      <c r="D33" s="312">
        <v>2018</v>
      </c>
      <c r="E33" s="167">
        <f t="shared" si="6"/>
        <v>117</v>
      </c>
      <c r="F33" s="165">
        <v>13</v>
      </c>
      <c r="G33" s="167">
        <v>104</v>
      </c>
    </row>
    <row r="34" spans="2:7" ht="8.1" customHeight="1" x14ac:dyDescent="0.2">
      <c r="B34" s="58"/>
      <c r="C34" s="58"/>
      <c r="D34" s="312"/>
      <c r="E34" s="167"/>
      <c r="F34" s="165"/>
      <c r="G34" s="167"/>
    </row>
    <row r="35" spans="2:7" ht="15" customHeight="1" x14ac:dyDescent="0.2">
      <c r="B35" s="58" t="s">
        <v>35</v>
      </c>
      <c r="C35" s="58"/>
      <c r="D35" s="312">
        <v>2016</v>
      </c>
      <c r="E35" s="167">
        <f>SUM(F35:G35)</f>
        <v>1598</v>
      </c>
      <c r="F35" s="167">
        <v>257</v>
      </c>
      <c r="G35" s="167">
        <v>1341</v>
      </c>
    </row>
    <row r="36" spans="2:7" ht="15" customHeight="1" x14ac:dyDescent="0.2">
      <c r="B36" s="58"/>
      <c r="C36" s="58"/>
      <c r="D36" s="312">
        <v>2017</v>
      </c>
      <c r="E36" s="167">
        <f t="shared" ref="E36:E37" si="7">SUM(F36:G36)</f>
        <v>1644</v>
      </c>
      <c r="F36" s="167">
        <v>324</v>
      </c>
      <c r="G36" s="167">
        <v>1320</v>
      </c>
    </row>
    <row r="37" spans="2:7" ht="15" customHeight="1" x14ac:dyDescent="0.2">
      <c r="B37" s="58"/>
      <c r="C37" s="58"/>
      <c r="D37" s="312">
        <v>2018</v>
      </c>
      <c r="E37" s="167">
        <f t="shared" si="7"/>
        <v>1560</v>
      </c>
      <c r="F37" s="167">
        <v>247</v>
      </c>
      <c r="G37" s="167">
        <v>1313</v>
      </c>
    </row>
    <row r="38" spans="2:7" ht="8.1" customHeight="1" x14ac:dyDescent="0.2">
      <c r="B38" s="58"/>
      <c r="C38" s="58"/>
      <c r="D38" s="312"/>
      <c r="E38" s="167"/>
      <c r="F38" s="165"/>
      <c r="G38" s="167"/>
    </row>
    <row r="39" spans="2:7" ht="15" customHeight="1" x14ac:dyDescent="0.2">
      <c r="B39" s="58" t="s">
        <v>41</v>
      </c>
      <c r="C39" s="58"/>
      <c r="D39" s="312">
        <v>2016</v>
      </c>
      <c r="E39" s="167">
        <f>SUM(F39:G39)</f>
        <v>263</v>
      </c>
      <c r="F39" s="167">
        <v>44</v>
      </c>
      <c r="G39" s="167">
        <v>219</v>
      </c>
    </row>
    <row r="40" spans="2:7" ht="15" customHeight="1" x14ac:dyDescent="0.2">
      <c r="B40" s="58"/>
      <c r="C40" s="58"/>
      <c r="D40" s="312">
        <v>2017</v>
      </c>
      <c r="E40" s="167">
        <f t="shared" ref="E40:E41" si="8">SUM(F40:G40)</f>
        <v>254</v>
      </c>
      <c r="F40" s="167">
        <v>36</v>
      </c>
      <c r="G40" s="167">
        <v>218</v>
      </c>
    </row>
    <row r="41" spans="2:7" ht="15" customHeight="1" x14ac:dyDescent="0.2">
      <c r="B41" s="58"/>
      <c r="C41" s="58"/>
      <c r="D41" s="312">
        <v>2018</v>
      </c>
      <c r="E41" s="167">
        <f t="shared" si="8"/>
        <v>252</v>
      </c>
      <c r="F41" s="167">
        <v>35</v>
      </c>
      <c r="G41" s="167">
        <v>217</v>
      </c>
    </row>
    <row r="42" spans="2:7" ht="8.1" customHeight="1" x14ac:dyDescent="0.2">
      <c r="B42" s="58"/>
      <c r="C42" s="58"/>
      <c r="D42" s="312"/>
      <c r="E42" s="167"/>
      <c r="F42" s="165"/>
      <c r="G42" s="167"/>
    </row>
    <row r="43" spans="2:7" ht="15" customHeight="1" x14ac:dyDescent="0.2">
      <c r="B43" s="58" t="s">
        <v>37</v>
      </c>
      <c r="C43" s="58"/>
      <c r="D43" s="312">
        <v>2016</v>
      </c>
      <c r="E43" s="167">
        <f>SUM(F43:G43)</f>
        <v>170</v>
      </c>
      <c r="F43" s="167">
        <v>19</v>
      </c>
      <c r="G43" s="167">
        <v>151</v>
      </c>
    </row>
    <row r="44" spans="2:7" ht="15" customHeight="1" x14ac:dyDescent="0.2">
      <c r="B44" s="58"/>
      <c r="C44" s="58"/>
      <c r="D44" s="312">
        <v>2017</v>
      </c>
      <c r="E44" s="167">
        <f t="shared" ref="E44:E45" si="9">SUM(F44:G44)</f>
        <v>171</v>
      </c>
      <c r="F44" s="167">
        <v>33</v>
      </c>
      <c r="G44" s="167">
        <v>138</v>
      </c>
    </row>
    <row r="45" spans="2:7" ht="15" customHeight="1" x14ac:dyDescent="0.2">
      <c r="B45" s="58"/>
      <c r="C45" s="58"/>
      <c r="D45" s="312">
        <v>2018</v>
      </c>
      <c r="E45" s="167">
        <f t="shared" si="9"/>
        <v>142</v>
      </c>
      <c r="F45" s="167">
        <v>27</v>
      </c>
      <c r="G45" s="167">
        <v>115</v>
      </c>
    </row>
    <row r="46" spans="2:7" ht="8.1" customHeight="1" x14ac:dyDescent="0.2">
      <c r="B46" s="58"/>
      <c r="C46" s="58"/>
      <c r="D46" s="312"/>
      <c r="E46" s="167"/>
      <c r="F46" s="167"/>
      <c r="G46" s="167"/>
    </row>
    <row r="47" spans="2:7" ht="15" customHeight="1" x14ac:dyDescent="0.2">
      <c r="B47" s="58" t="s">
        <v>38</v>
      </c>
      <c r="C47" s="58"/>
      <c r="D47" s="312">
        <v>2016</v>
      </c>
      <c r="E47" s="167">
        <f>SUM(F47:G47)</f>
        <v>117</v>
      </c>
      <c r="F47" s="165">
        <v>23</v>
      </c>
      <c r="G47" s="167">
        <v>94</v>
      </c>
    </row>
    <row r="48" spans="2:7" ht="15" customHeight="1" x14ac:dyDescent="0.2">
      <c r="B48" s="58"/>
      <c r="C48" s="58"/>
      <c r="D48" s="312">
        <v>2017</v>
      </c>
      <c r="E48" s="167">
        <f t="shared" ref="E48:E49" si="10">SUM(F48:G48)</f>
        <v>125</v>
      </c>
      <c r="F48" s="167">
        <v>22</v>
      </c>
      <c r="G48" s="167">
        <v>103</v>
      </c>
    </row>
    <row r="49" spans="1:9" ht="15" customHeight="1" x14ac:dyDescent="0.2">
      <c r="B49" s="58"/>
      <c r="C49" s="58"/>
      <c r="D49" s="312">
        <v>2018</v>
      </c>
      <c r="E49" s="167">
        <f t="shared" si="10"/>
        <v>113</v>
      </c>
      <c r="F49" s="165">
        <v>26</v>
      </c>
      <c r="G49" s="167">
        <v>87</v>
      </c>
    </row>
    <row r="50" spans="1:9" ht="8.1" customHeight="1" x14ac:dyDescent="0.2">
      <c r="B50" s="58"/>
      <c r="C50" s="58"/>
      <c r="D50" s="312"/>
      <c r="E50" s="167"/>
      <c r="F50" s="167"/>
      <c r="G50" s="167"/>
    </row>
    <row r="51" spans="1:9" ht="15" customHeight="1" x14ac:dyDescent="0.2">
      <c r="B51" s="58" t="s">
        <v>40</v>
      </c>
      <c r="C51" s="58"/>
      <c r="D51" s="312">
        <v>2016</v>
      </c>
      <c r="E51" s="167">
        <f>SUM(F51:G51)</f>
        <v>297</v>
      </c>
      <c r="F51" s="167">
        <v>44</v>
      </c>
      <c r="G51" s="167">
        <v>253</v>
      </c>
      <c r="I51" s="15"/>
    </row>
    <row r="52" spans="1:9" ht="15" customHeight="1" x14ac:dyDescent="0.2">
      <c r="B52" s="58"/>
      <c r="C52" s="58"/>
      <c r="D52" s="312">
        <v>2017</v>
      </c>
      <c r="E52" s="167">
        <f t="shared" ref="E52:E53" si="11">SUM(F52:G52)</f>
        <v>224</v>
      </c>
      <c r="F52" s="165">
        <v>42</v>
      </c>
      <c r="G52" s="167">
        <v>182</v>
      </c>
      <c r="I52" s="15"/>
    </row>
    <row r="53" spans="1:9" ht="15" customHeight="1" x14ac:dyDescent="0.2">
      <c r="B53" s="58"/>
      <c r="C53" s="58"/>
      <c r="D53" s="312">
        <v>2018</v>
      </c>
      <c r="E53" s="167">
        <f t="shared" si="11"/>
        <v>179</v>
      </c>
      <c r="F53" s="167">
        <v>37</v>
      </c>
      <c r="G53" s="167">
        <v>142</v>
      </c>
      <c r="I53" s="15"/>
    </row>
    <row r="54" spans="1:9" ht="8.1" customHeight="1" x14ac:dyDescent="0.2">
      <c r="B54" s="58"/>
      <c r="C54" s="58"/>
      <c r="D54" s="312"/>
      <c r="E54" s="167"/>
      <c r="F54" s="167"/>
      <c r="G54" s="167"/>
      <c r="I54" s="15"/>
    </row>
    <row r="55" spans="1:9" ht="15" customHeight="1" x14ac:dyDescent="0.2">
      <c r="B55" s="58" t="s">
        <v>39</v>
      </c>
      <c r="C55" s="58"/>
      <c r="D55" s="312">
        <v>2016</v>
      </c>
      <c r="E55" s="167">
        <f>SUM(F55:G55)</f>
        <v>312</v>
      </c>
      <c r="F55" s="167">
        <v>79</v>
      </c>
      <c r="G55" s="167">
        <v>233</v>
      </c>
      <c r="I55" s="15"/>
    </row>
    <row r="56" spans="1:9" ht="15" customHeight="1" x14ac:dyDescent="0.2">
      <c r="B56" s="58"/>
      <c r="C56" s="58"/>
      <c r="D56" s="312">
        <v>2017</v>
      </c>
      <c r="E56" s="167">
        <f t="shared" ref="E56:E57" si="12">SUM(F56:G56)</f>
        <v>328</v>
      </c>
      <c r="F56" s="165">
        <v>55</v>
      </c>
      <c r="G56" s="167">
        <v>273</v>
      </c>
      <c r="I56" s="15"/>
    </row>
    <row r="57" spans="1:9" ht="15" customHeight="1" x14ac:dyDescent="0.2">
      <c r="A57" s="7"/>
      <c r="B57" s="58"/>
      <c r="C57" s="58"/>
      <c r="D57" s="312">
        <v>2018</v>
      </c>
      <c r="E57" s="167">
        <f t="shared" si="12"/>
        <v>298</v>
      </c>
      <c r="F57" s="167">
        <v>53</v>
      </c>
      <c r="G57" s="167">
        <v>245</v>
      </c>
      <c r="H57" s="7"/>
      <c r="I57" s="15"/>
    </row>
    <row r="58" spans="1:9" ht="8.1" customHeight="1" thickBot="1" x14ac:dyDescent="0.25">
      <c r="A58" s="34"/>
      <c r="B58" s="16"/>
      <c r="C58" s="16"/>
      <c r="D58" s="134"/>
      <c r="E58" s="12"/>
      <c r="F58" s="33"/>
      <c r="G58" s="12"/>
      <c r="H58" s="34"/>
      <c r="I58" s="15"/>
    </row>
    <row r="59" spans="1:9" x14ac:dyDescent="0.25">
      <c r="D59" s="133"/>
      <c r="G59" s="175" t="s">
        <v>101</v>
      </c>
    </row>
    <row r="60" spans="1:9" x14ac:dyDescent="0.25">
      <c r="D60" s="133"/>
      <c r="G60" s="180" t="s">
        <v>1</v>
      </c>
    </row>
    <row r="61" spans="1:9" x14ac:dyDescent="0.25">
      <c r="D61" s="133"/>
    </row>
    <row r="62" spans="1:9" x14ac:dyDescent="0.25">
      <c r="D62" s="133"/>
    </row>
    <row r="63" spans="1:9" x14ac:dyDescent="0.25">
      <c r="D63" s="133"/>
    </row>
    <row r="64" spans="1:9" x14ac:dyDescent="0.25">
      <c r="D64" s="133"/>
    </row>
    <row r="65" spans="4:4" x14ac:dyDescent="0.25">
      <c r="D65" s="133"/>
    </row>
    <row r="66" spans="4:4" x14ac:dyDescent="0.25">
      <c r="D66" s="133"/>
    </row>
    <row r="67" spans="4:4" x14ac:dyDescent="0.25">
      <c r="D67" s="133"/>
    </row>
    <row r="68" spans="4:4" x14ac:dyDescent="0.25">
      <c r="D68" s="133"/>
    </row>
    <row r="69" spans="4:4" x14ac:dyDescent="0.25">
      <c r="D69" s="133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topLeftCell="A6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2" customWidth="1"/>
    <col min="2" max="2" width="10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71" t="s">
        <v>182</v>
      </c>
    </row>
    <row r="2" spans="1:8" s="30" customFormat="1" ht="12" customHeight="1" x14ac:dyDescent="0.25">
      <c r="B2" s="27"/>
      <c r="C2" s="27"/>
      <c r="D2" s="27"/>
      <c r="E2" s="28"/>
      <c r="F2" s="29"/>
      <c r="G2" s="172" t="s">
        <v>183</v>
      </c>
    </row>
    <row r="3" spans="1:8" s="30" customFormat="1" ht="12" customHeight="1" x14ac:dyDescent="0.25">
      <c r="B3" s="27"/>
      <c r="C3" s="27"/>
      <c r="D3" s="27"/>
      <c r="E3" s="28"/>
      <c r="F3" s="29"/>
      <c r="G3" s="71"/>
    </row>
    <row r="4" spans="1:8" s="30" customFormat="1" ht="12" customHeight="1" x14ac:dyDescent="0.25">
      <c r="B4" s="27"/>
      <c r="C4" s="27"/>
      <c r="D4" s="27"/>
      <c r="E4" s="28"/>
      <c r="F4" s="29"/>
      <c r="G4" s="71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ht="9.9499999999999993" customHeight="1" thickBot="1" x14ac:dyDescent="0.3"/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8" s="53" customFormat="1" ht="33" customHeight="1" thickBot="1" x14ac:dyDescent="0.25">
      <c r="A9" s="348"/>
      <c r="B9" s="464"/>
      <c r="C9" s="464"/>
      <c r="D9" s="458"/>
      <c r="E9" s="458"/>
      <c r="F9" s="460"/>
      <c r="G9" s="460"/>
      <c r="H9" s="344"/>
    </row>
    <row r="10" spans="1:8" ht="6.95" customHeight="1" x14ac:dyDescent="0.2">
      <c r="A10" s="45"/>
      <c r="B10" s="46"/>
      <c r="C10" s="46"/>
      <c r="D10" s="46"/>
      <c r="E10" s="465"/>
      <c r="F10" s="465"/>
      <c r="G10" s="465"/>
      <c r="H10" s="45"/>
    </row>
    <row r="11" spans="1:8" s="6" customFormat="1" ht="12" customHeight="1" x14ac:dyDescent="0.25">
      <c r="B11" s="64" t="s">
        <v>176</v>
      </c>
      <c r="C11" s="64"/>
      <c r="D11" s="65">
        <v>2016</v>
      </c>
      <c r="E11" s="166">
        <f t="shared" ref="E11:G13" si="0">SUM(E15,E19,E23,E27,E31,E35,E39,E43,E47,,E51,E55,E59,E63,E67,E71,)</f>
        <v>5841</v>
      </c>
      <c r="F11" s="166">
        <f t="shared" si="0"/>
        <v>1295</v>
      </c>
      <c r="G11" s="166">
        <f t="shared" si="0"/>
        <v>4546</v>
      </c>
      <c r="H11" s="24"/>
    </row>
    <row r="12" spans="1:8" s="6" customFormat="1" ht="12" customHeight="1" x14ac:dyDescent="0.25">
      <c r="B12" s="64"/>
      <c r="C12" s="64"/>
      <c r="D12" s="65">
        <v>2017</v>
      </c>
      <c r="E12" s="166">
        <f t="shared" si="0"/>
        <v>5326</v>
      </c>
      <c r="F12" s="166">
        <f t="shared" si="0"/>
        <v>1140</v>
      </c>
      <c r="G12" s="166">
        <f t="shared" si="0"/>
        <v>4186</v>
      </c>
    </row>
    <row r="13" spans="1:8" s="6" customFormat="1" ht="12" customHeight="1" x14ac:dyDescent="0.25">
      <c r="B13" s="64"/>
      <c r="C13" s="64"/>
      <c r="D13" s="65">
        <v>2018</v>
      </c>
      <c r="E13" s="166">
        <f t="shared" si="0"/>
        <v>5128</v>
      </c>
      <c r="F13" s="166">
        <f t="shared" si="0"/>
        <v>1005</v>
      </c>
      <c r="G13" s="166">
        <f t="shared" si="0"/>
        <v>4123</v>
      </c>
    </row>
    <row r="14" spans="1:8" ht="6.95" customHeight="1" x14ac:dyDescent="0.2">
      <c r="A14" s="7"/>
      <c r="B14" s="125"/>
      <c r="C14" s="125"/>
      <c r="D14" s="65"/>
      <c r="E14" s="126"/>
      <c r="F14" s="126"/>
      <c r="G14" s="126"/>
      <c r="H14" s="7"/>
    </row>
    <row r="15" spans="1:8" ht="12" customHeight="1" x14ac:dyDescent="0.2">
      <c r="B15" s="58" t="s">
        <v>69</v>
      </c>
      <c r="C15" s="58"/>
      <c r="D15" s="162">
        <v>2016</v>
      </c>
      <c r="E15" s="167">
        <f>SUM(F15:G15)</f>
        <v>120</v>
      </c>
      <c r="F15" s="167">
        <v>28</v>
      </c>
      <c r="G15" s="167">
        <v>92</v>
      </c>
      <c r="H15" s="7"/>
    </row>
    <row r="16" spans="1:8" ht="12" customHeight="1" x14ac:dyDescent="0.2">
      <c r="B16" s="58"/>
      <c r="C16" s="58"/>
      <c r="D16" s="162">
        <v>2017</v>
      </c>
      <c r="E16" s="167">
        <f t="shared" ref="E16:E17" si="1">SUM(F16:G16)</f>
        <v>91</v>
      </c>
      <c r="F16" s="167">
        <v>23</v>
      </c>
      <c r="G16" s="167">
        <v>68</v>
      </c>
    </row>
    <row r="17" spans="2:8" ht="12" customHeight="1" x14ac:dyDescent="0.2">
      <c r="B17" s="58"/>
      <c r="C17" s="58"/>
      <c r="D17" s="162">
        <v>2018</v>
      </c>
      <c r="E17" s="167">
        <f t="shared" si="1"/>
        <v>92</v>
      </c>
      <c r="F17" s="167">
        <v>17</v>
      </c>
      <c r="G17" s="167">
        <v>75</v>
      </c>
    </row>
    <row r="18" spans="2:8" ht="6.95" customHeight="1" x14ac:dyDescent="0.2">
      <c r="B18" s="58"/>
      <c r="C18" s="58"/>
      <c r="D18" s="162"/>
      <c r="E18" s="167"/>
      <c r="F18" s="167"/>
      <c r="G18" s="167"/>
    </row>
    <row r="19" spans="2:8" ht="12" customHeight="1" x14ac:dyDescent="0.2">
      <c r="B19" s="58" t="s">
        <v>70</v>
      </c>
      <c r="C19" s="58"/>
      <c r="D19" s="162">
        <v>2016</v>
      </c>
      <c r="E19" s="167">
        <f>SUM(F19:G19)</f>
        <v>86</v>
      </c>
      <c r="F19" s="167">
        <v>15</v>
      </c>
      <c r="G19" s="167">
        <v>71</v>
      </c>
    </row>
    <row r="20" spans="2:8" ht="12" customHeight="1" x14ac:dyDescent="0.2">
      <c r="B20" s="58"/>
      <c r="C20" s="58"/>
      <c r="D20" s="162">
        <v>2017</v>
      </c>
      <c r="E20" s="167">
        <f t="shared" ref="E20:E21" si="2">SUM(F20:G20)</f>
        <v>78</v>
      </c>
      <c r="F20" s="167">
        <v>16</v>
      </c>
      <c r="G20" s="167">
        <v>62</v>
      </c>
    </row>
    <row r="21" spans="2:8" ht="12" customHeight="1" x14ac:dyDescent="0.2">
      <c r="B21" s="58"/>
      <c r="C21" s="58"/>
      <c r="D21" s="162">
        <v>2018</v>
      </c>
      <c r="E21" s="167">
        <f t="shared" si="2"/>
        <v>69</v>
      </c>
      <c r="F21" s="167">
        <v>15</v>
      </c>
      <c r="G21" s="167">
        <v>54</v>
      </c>
    </row>
    <row r="22" spans="2:8" ht="6.95" customHeight="1" x14ac:dyDescent="0.2">
      <c r="B22" s="58"/>
      <c r="C22" s="58"/>
      <c r="D22" s="162"/>
      <c r="E22" s="167"/>
      <c r="F22" s="167"/>
      <c r="G22" s="167"/>
    </row>
    <row r="23" spans="2:8" ht="12" customHeight="1" x14ac:dyDescent="0.2">
      <c r="B23" s="58" t="s">
        <v>46</v>
      </c>
      <c r="C23" s="58"/>
      <c r="D23" s="162">
        <v>2016</v>
      </c>
      <c r="E23" s="167">
        <f>SUM(F23:G23)</f>
        <v>602</v>
      </c>
      <c r="F23" s="167">
        <v>140</v>
      </c>
      <c r="G23" s="167">
        <v>462</v>
      </c>
    </row>
    <row r="24" spans="2:8" ht="12" customHeight="1" x14ac:dyDescent="0.2">
      <c r="B24" s="58"/>
      <c r="C24" s="58"/>
      <c r="D24" s="162">
        <v>2017</v>
      </c>
      <c r="E24" s="167">
        <f t="shared" ref="E24:E25" si="3">SUM(F24:G24)</f>
        <v>560</v>
      </c>
      <c r="F24" s="167">
        <v>128</v>
      </c>
      <c r="G24" s="167">
        <v>432</v>
      </c>
    </row>
    <row r="25" spans="2:8" ht="12" customHeight="1" x14ac:dyDescent="0.2">
      <c r="B25" s="58"/>
      <c r="C25" s="58"/>
      <c r="D25" s="162">
        <v>2018</v>
      </c>
      <c r="E25" s="167">
        <f t="shared" si="3"/>
        <v>560</v>
      </c>
      <c r="F25" s="167">
        <v>113</v>
      </c>
      <c r="G25" s="167">
        <v>447</v>
      </c>
    </row>
    <row r="26" spans="2:8" ht="6.95" customHeight="1" x14ac:dyDescent="0.2">
      <c r="B26" s="58"/>
      <c r="C26" s="58"/>
      <c r="D26" s="162"/>
      <c r="E26" s="167"/>
      <c r="F26" s="167"/>
      <c r="G26" s="167"/>
    </row>
    <row r="27" spans="2:8" ht="12" customHeight="1" x14ac:dyDescent="0.2">
      <c r="B27" s="58" t="s">
        <v>71</v>
      </c>
      <c r="C27" s="58"/>
      <c r="D27" s="162">
        <v>2016</v>
      </c>
      <c r="E27" s="167">
        <f>SUM(F27:G27)</f>
        <v>2201</v>
      </c>
      <c r="F27" s="167">
        <v>508</v>
      </c>
      <c r="G27" s="167">
        <v>1693</v>
      </c>
    </row>
    <row r="28" spans="2:8" s="3" customFormat="1" ht="12" customHeight="1" x14ac:dyDescent="0.2">
      <c r="B28" s="58"/>
      <c r="C28" s="58"/>
      <c r="D28" s="162">
        <v>2017</v>
      </c>
      <c r="E28" s="167">
        <f t="shared" ref="E28:E29" si="4">SUM(F28:G28)</f>
        <v>2081</v>
      </c>
      <c r="F28" s="167">
        <v>450</v>
      </c>
      <c r="G28" s="167">
        <v>1631</v>
      </c>
      <c r="H28" s="2"/>
    </row>
    <row r="29" spans="2:8" ht="12" customHeight="1" x14ac:dyDescent="0.2">
      <c r="B29" s="58"/>
      <c r="C29" s="58"/>
      <c r="D29" s="162">
        <v>2018</v>
      </c>
      <c r="E29" s="167">
        <f t="shared" si="4"/>
        <v>1964</v>
      </c>
      <c r="F29" s="167">
        <v>377</v>
      </c>
      <c r="G29" s="167">
        <v>1587</v>
      </c>
    </row>
    <row r="30" spans="2:8" ht="6.95" customHeight="1" x14ac:dyDescent="0.2">
      <c r="B30" s="58"/>
      <c r="C30" s="58"/>
      <c r="D30" s="162"/>
      <c r="E30" s="167"/>
      <c r="F30" s="167"/>
      <c r="G30" s="167"/>
    </row>
    <row r="31" spans="2:8" ht="12" customHeight="1" x14ac:dyDescent="0.2">
      <c r="B31" s="58" t="s">
        <v>48</v>
      </c>
      <c r="C31" s="58"/>
      <c r="D31" s="162">
        <v>2016</v>
      </c>
      <c r="E31" s="167">
        <f>SUM(F31:G31)</f>
        <v>195</v>
      </c>
      <c r="F31" s="167">
        <v>41</v>
      </c>
      <c r="G31" s="167">
        <v>154</v>
      </c>
    </row>
    <row r="32" spans="2:8" ht="12" customHeight="1" x14ac:dyDescent="0.2">
      <c r="B32" s="58"/>
      <c r="C32" s="58"/>
      <c r="D32" s="162">
        <v>2017</v>
      </c>
      <c r="E32" s="167">
        <f t="shared" ref="E32:E33" si="5">SUM(F32:G32)</f>
        <v>182</v>
      </c>
      <c r="F32" s="167">
        <v>36</v>
      </c>
      <c r="G32" s="167">
        <v>146</v>
      </c>
    </row>
    <row r="33" spans="2:7" ht="12" customHeight="1" x14ac:dyDescent="0.2">
      <c r="B33" s="58"/>
      <c r="C33" s="58"/>
      <c r="D33" s="162">
        <v>2018</v>
      </c>
      <c r="E33" s="167">
        <f t="shared" si="5"/>
        <v>192</v>
      </c>
      <c r="F33" s="167">
        <v>32</v>
      </c>
      <c r="G33" s="167">
        <v>160</v>
      </c>
    </row>
    <row r="34" spans="2:7" ht="6.95" customHeight="1" x14ac:dyDescent="0.2">
      <c r="B34" s="58"/>
      <c r="C34" s="58"/>
      <c r="D34" s="162"/>
      <c r="E34" s="167"/>
      <c r="F34" s="167"/>
      <c r="G34" s="167"/>
    </row>
    <row r="35" spans="2:7" ht="12" customHeight="1" x14ac:dyDescent="0.2">
      <c r="B35" s="58" t="s">
        <v>44</v>
      </c>
      <c r="C35" s="58"/>
      <c r="D35" s="162">
        <v>2016</v>
      </c>
      <c r="E35" s="167">
        <f>SUM(F35:G35)</f>
        <v>229</v>
      </c>
      <c r="F35" s="167">
        <v>51</v>
      </c>
      <c r="G35" s="167">
        <v>178</v>
      </c>
    </row>
    <row r="36" spans="2:7" ht="12" customHeight="1" x14ac:dyDescent="0.2">
      <c r="B36" s="58"/>
      <c r="C36" s="58"/>
      <c r="D36" s="162">
        <v>2017</v>
      </c>
      <c r="E36" s="167">
        <f t="shared" ref="E36:E37" si="6">SUM(F36:G36)</f>
        <v>195</v>
      </c>
      <c r="F36" s="167">
        <v>39</v>
      </c>
      <c r="G36" s="167">
        <v>156</v>
      </c>
    </row>
    <row r="37" spans="2:7" ht="12" customHeight="1" x14ac:dyDescent="0.2">
      <c r="B37" s="58"/>
      <c r="C37" s="58"/>
      <c r="D37" s="162">
        <v>2018</v>
      </c>
      <c r="E37" s="167">
        <f t="shared" si="6"/>
        <v>192</v>
      </c>
      <c r="F37" s="167">
        <v>37</v>
      </c>
      <c r="G37" s="167">
        <v>155</v>
      </c>
    </row>
    <row r="38" spans="2:7" ht="6.95" customHeight="1" x14ac:dyDescent="0.2">
      <c r="B38" s="58"/>
      <c r="C38" s="58"/>
      <c r="D38" s="162"/>
      <c r="E38" s="167"/>
      <c r="F38" s="167"/>
      <c r="G38" s="167"/>
    </row>
    <row r="39" spans="2:7" ht="12" customHeight="1" x14ac:dyDescent="0.2">
      <c r="B39" s="58" t="s">
        <v>45</v>
      </c>
      <c r="C39" s="58"/>
      <c r="D39" s="162">
        <v>2016</v>
      </c>
      <c r="E39" s="167">
        <f>SUM(F39:G39)</f>
        <v>170</v>
      </c>
      <c r="F39" s="167">
        <v>26</v>
      </c>
      <c r="G39" s="167">
        <v>144</v>
      </c>
    </row>
    <row r="40" spans="2:7" ht="12" customHeight="1" x14ac:dyDescent="0.2">
      <c r="B40" s="58"/>
      <c r="C40" s="58"/>
      <c r="D40" s="162">
        <v>2017</v>
      </c>
      <c r="E40" s="167">
        <f t="shared" ref="E40:E41" si="7">SUM(F40:G40)</f>
        <v>139</v>
      </c>
      <c r="F40" s="167">
        <v>21</v>
      </c>
      <c r="G40" s="167">
        <v>118</v>
      </c>
    </row>
    <row r="41" spans="2:7" ht="12" customHeight="1" x14ac:dyDescent="0.2">
      <c r="B41" s="58"/>
      <c r="C41" s="58"/>
      <c r="D41" s="162">
        <v>2018</v>
      </c>
      <c r="E41" s="167">
        <f t="shared" si="7"/>
        <v>120</v>
      </c>
      <c r="F41" s="167">
        <v>24</v>
      </c>
      <c r="G41" s="167">
        <v>96</v>
      </c>
    </row>
    <row r="42" spans="2:7" ht="6.95" customHeight="1" x14ac:dyDescent="0.2">
      <c r="B42" s="58"/>
      <c r="C42" s="58"/>
      <c r="D42" s="162"/>
      <c r="E42" s="167"/>
      <c r="F42" s="165"/>
      <c r="G42" s="165"/>
    </row>
    <row r="43" spans="2:7" ht="12" customHeight="1" x14ac:dyDescent="0.2">
      <c r="B43" s="58" t="s">
        <v>43</v>
      </c>
      <c r="C43" s="58"/>
      <c r="D43" s="162">
        <v>2016</v>
      </c>
      <c r="E43" s="167">
        <f>SUM(F43:G43)</f>
        <v>679</v>
      </c>
      <c r="F43" s="167">
        <v>105</v>
      </c>
      <c r="G43" s="167">
        <v>574</v>
      </c>
    </row>
    <row r="44" spans="2:7" ht="12" customHeight="1" x14ac:dyDescent="0.2">
      <c r="B44" s="58"/>
      <c r="C44" s="58"/>
      <c r="D44" s="162">
        <v>2017</v>
      </c>
      <c r="E44" s="167">
        <f t="shared" ref="E44:E45" si="8">SUM(F44:G44)</f>
        <v>622</v>
      </c>
      <c r="F44" s="167">
        <v>116</v>
      </c>
      <c r="G44" s="167">
        <v>506</v>
      </c>
    </row>
    <row r="45" spans="2:7" ht="12" customHeight="1" x14ac:dyDescent="0.2">
      <c r="B45" s="58"/>
      <c r="C45" s="58"/>
      <c r="D45" s="162">
        <v>2018</v>
      </c>
      <c r="E45" s="167">
        <f t="shared" si="8"/>
        <v>614</v>
      </c>
      <c r="F45" s="167">
        <v>99</v>
      </c>
      <c r="G45" s="167">
        <v>515</v>
      </c>
    </row>
    <row r="46" spans="2:7" ht="6.95" customHeight="1" x14ac:dyDescent="0.2">
      <c r="B46" s="58"/>
      <c r="C46" s="58"/>
      <c r="D46" s="162"/>
      <c r="E46" s="167"/>
      <c r="F46" s="167"/>
      <c r="G46" s="167"/>
    </row>
    <row r="47" spans="2:7" ht="12" customHeight="1" x14ac:dyDescent="0.2">
      <c r="B47" s="58" t="s">
        <v>72</v>
      </c>
      <c r="C47" s="58"/>
      <c r="D47" s="162">
        <v>2016</v>
      </c>
      <c r="E47" s="167">
        <f>SUM(F47:G47)</f>
        <v>27</v>
      </c>
      <c r="F47" s="165">
        <v>1</v>
      </c>
      <c r="G47" s="165">
        <v>26</v>
      </c>
    </row>
    <row r="48" spans="2:7" ht="12" customHeight="1" x14ac:dyDescent="0.2">
      <c r="B48" s="58"/>
      <c r="C48" s="58"/>
      <c r="D48" s="162">
        <v>2017</v>
      </c>
      <c r="E48" s="167">
        <f t="shared" ref="E48:E49" si="9">SUM(F48:G48)</f>
        <v>15</v>
      </c>
      <c r="F48" s="167">
        <v>2</v>
      </c>
      <c r="G48" s="167">
        <v>13</v>
      </c>
    </row>
    <row r="49" spans="2:7" ht="12" customHeight="1" x14ac:dyDescent="0.2">
      <c r="B49" s="58"/>
      <c r="C49" s="58"/>
      <c r="D49" s="162">
        <v>2018</v>
      </c>
      <c r="E49" s="167">
        <f t="shared" si="9"/>
        <v>13</v>
      </c>
      <c r="F49" s="165">
        <v>3</v>
      </c>
      <c r="G49" s="165">
        <v>10</v>
      </c>
    </row>
    <row r="50" spans="2:7" ht="6.95" customHeight="1" x14ac:dyDescent="0.2">
      <c r="B50" s="58"/>
      <c r="C50" s="58"/>
      <c r="D50" s="162"/>
      <c r="E50" s="167"/>
      <c r="F50" s="167"/>
      <c r="G50" s="167"/>
    </row>
    <row r="51" spans="2:7" ht="12" customHeight="1" x14ac:dyDescent="0.2">
      <c r="B51" s="58" t="s">
        <v>47</v>
      </c>
      <c r="C51" s="58"/>
      <c r="D51" s="162">
        <v>2016</v>
      </c>
      <c r="E51" s="167">
        <f>SUM(F51:G51)</f>
        <v>207</v>
      </c>
      <c r="F51" s="167">
        <v>20</v>
      </c>
      <c r="G51" s="167">
        <v>187</v>
      </c>
    </row>
    <row r="52" spans="2:7" ht="12" customHeight="1" x14ac:dyDescent="0.2">
      <c r="B52" s="58"/>
      <c r="C52" s="58"/>
      <c r="D52" s="162">
        <v>2017</v>
      </c>
      <c r="E52" s="167">
        <f t="shared" ref="E52:E53" si="10">SUM(F52:G52)</f>
        <v>140</v>
      </c>
      <c r="F52" s="167">
        <v>24</v>
      </c>
      <c r="G52" s="167">
        <v>116</v>
      </c>
    </row>
    <row r="53" spans="2:7" ht="12" customHeight="1" x14ac:dyDescent="0.2">
      <c r="B53" s="58"/>
      <c r="C53" s="58"/>
      <c r="D53" s="162">
        <v>2018</v>
      </c>
      <c r="E53" s="167">
        <f t="shared" si="10"/>
        <v>92</v>
      </c>
      <c r="F53" s="167">
        <v>11</v>
      </c>
      <c r="G53" s="167">
        <v>81</v>
      </c>
    </row>
    <row r="54" spans="2:7" ht="6.95" customHeight="1" x14ac:dyDescent="0.2">
      <c r="B54" s="58"/>
      <c r="C54" s="58"/>
      <c r="D54" s="162"/>
      <c r="E54" s="167"/>
      <c r="F54" s="167"/>
      <c r="G54" s="167"/>
    </row>
    <row r="55" spans="2:7" ht="12" customHeight="1" x14ac:dyDescent="0.2">
      <c r="B55" s="58" t="s">
        <v>73</v>
      </c>
      <c r="C55" s="58"/>
      <c r="D55" s="162">
        <v>2016</v>
      </c>
      <c r="E55" s="167">
        <f>SUM(F55:G55)</f>
        <v>39</v>
      </c>
      <c r="F55" s="167">
        <v>9</v>
      </c>
      <c r="G55" s="167">
        <v>30</v>
      </c>
    </row>
    <row r="56" spans="2:7" ht="12" customHeight="1" x14ac:dyDescent="0.2">
      <c r="B56" s="58"/>
      <c r="C56" s="58"/>
      <c r="D56" s="162">
        <v>2017</v>
      </c>
      <c r="E56" s="167">
        <f t="shared" ref="E56:E57" si="11">SUM(F56:G56)</f>
        <v>26</v>
      </c>
      <c r="F56" s="165">
        <v>3</v>
      </c>
      <c r="G56" s="167">
        <v>23</v>
      </c>
    </row>
    <row r="57" spans="2:7" ht="12" customHeight="1" x14ac:dyDescent="0.2">
      <c r="B57" s="58"/>
      <c r="C57" s="58"/>
      <c r="D57" s="162">
        <v>2018</v>
      </c>
      <c r="E57" s="167">
        <f t="shared" si="11"/>
        <v>33</v>
      </c>
      <c r="F57" s="167">
        <v>8</v>
      </c>
      <c r="G57" s="167">
        <v>25</v>
      </c>
    </row>
    <row r="58" spans="2:7" ht="6.95" customHeight="1" x14ac:dyDescent="0.2">
      <c r="B58" s="58"/>
      <c r="C58" s="58"/>
      <c r="D58" s="162"/>
      <c r="E58" s="167"/>
      <c r="F58" s="165"/>
      <c r="G58" s="165"/>
    </row>
    <row r="59" spans="2:7" ht="12" customHeight="1" x14ac:dyDescent="0.2">
      <c r="B59" s="58" t="s">
        <v>74</v>
      </c>
      <c r="C59" s="58"/>
      <c r="D59" s="162">
        <v>2016</v>
      </c>
      <c r="E59" s="167">
        <f>SUM(F59:G59)</f>
        <v>133</v>
      </c>
      <c r="F59" s="167">
        <v>34</v>
      </c>
      <c r="G59" s="167">
        <v>99</v>
      </c>
    </row>
    <row r="60" spans="2:7" ht="12" customHeight="1" x14ac:dyDescent="0.2">
      <c r="B60" s="58"/>
      <c r="C60" s="58"/>
      <c r="D60" s="162">
        <v>2017</v>
      </c>
      <c r="E60" s="167">
        <f t="shared" ref="E60:E61" si="12">SUM(F60:G60)</f>
        <v>135</v>
      </c>
      <c r="F60" s="167">
        <v>31</v>
      </c>
      <c r="G60" s="167">
        <v>104</v>
      </c>
    </row>
    <row r="61" spans="2:7" ht="12" customHeight="1" x14ac:dyDescent="0.2">
      <c r="B61" s="58"/>
      <c r="C61" s="58"/>
      <c r="D61" s="162">
        <v>2018</v>
      </c>
      <c r="E61" s="167">
        <f t="shared" si="12"/>
        <v>119</v>
      </c>
      <c r="F61" s="167">
        <v>35</v>
      </c>
      <c r="G61" s="167">
        <v>84</v>
      </c>
    </row>
    <row r="62" spans="2:7" ht="6.95" customHeight="1" x14ac:dyDescent="0.2">
      <c r="B62" s="58"/>
      <c r="C62" s="58"/>
      <c r="D62" s="162"/>
      <c r="E62" s="167"/>
      <c r="F62" s="167"/>
      <c r="G62" s="167"/>
    </row>
    <row r="63" spans="2:7" ht="12" customHeight="1" x14ac:dyDescent="0.2">
      <c r="B63" s="58" t="s">
        <v>75</v>
      </c>
      <c r="C63" s="58"/>
      <c r="D63" s="162">
        <v>2016</v>
      </c>
      <c r="E63" s="167">
        <f>SUM(F63:G63)</f>
        <v>796</v>
      </c>
      <c r="F63" s="167">
        <v>212</v>
      </c>
      <c r="G63" s="167">
        <v>584</v>
      </c>
    </row>
    <row r="64" spans="2:7" ht="12" customHeight="1" x14ac:dyDescent="0.2">
      <c r="B64" s="58"/>
      <c r="C64" s="58"/>
      <c r="D64" s="162">
        <v>2017</v>
      </c>
      <c r="E64" s="167">
        <f t="shared" ref="E64:E65" si="13">SUM(F64:G64)</f>
        <v>731</v>
      </c>
      <c r="F64" s="167">
        <v>170</v>
      </c>
      <c r="G64" s="167">
        <v>561</v>
      </c>
    </row>
    <row r="65" spans="1:8" ht="12" customHeight="1" x14ac:dyDescent="0.2">
      <c r="A65" s="7"/>
      <c r="B65" s="58"/>
      <c r="C65" s="58"/>
      <c r="D65" s="162">
        <v>2018</v>
      </c>
      <c r="E65" s="167">
        <f t="shared" si="13"/>
        <v>739</v>
      </c>
      <c r="F65" s="167">
        <v>165</v>
      </c>
      <c r="G65" s="167">
        <v>574</v>
      </c>
      <c r="H65" s="7"/>
    </row>
    <row r="66" spans="1:8" ht="6.95" customHeight="1" x14ac:dyDescent="0.2">
      <c r="A66" s="7"/>
      <c r="B66" s="58"/>
      <c r="C66" s="58"/>
      <c r="D66" s="162"/>
      <c r="E66" s="167"/>
      <c r="F66" s="167"/>
      <c r="G66" s="167"/>
      <c r="H66" s="7"/>
    </row>
    <row r="67" spans="1:8" s="19" customFormat="1" ht="12" customHeight="1" x14ac:dyDescent="0.2">
      <c r="A67" s="18"/>
      <c r="B67" s="58" t="s">
        <v>76</v>
      </c>
      <c r="C67" s="58"/>
      <c r="D67" s="162">
        <v>2016</v>
      </c>
      <c r="E67" s="167">
        <f>SUM(F67:G67)</f>
        <v>156</v>
      </c>
      <c r="F67" s="167">
        <v>44</v>
      </c>
      <c r="G67" s="164">
        <v>112</v>
      </c>
      <c r="H67" s="18"/>
    </row>
    <row r="68" spans="1:8" ht="12" customHeight="1" x14ac:dyDescent="0.2">
      <c r="B68" s="58"/>
      <c r="C68" s="58"/>
      <c r="D68" s="162">
        <v>2017</v>
      </c>
      <c r="E68" s="167">
        <f t="shared" ref="E68" si="14">SUM(F68:G68)</f>
        <v>148</v>
      </c>
      <c r="F68" s="165">
        <v>31</v>
      </c>
      <c r="G68" s="167">
        <v>117</v>
      </c>
    </row>
    <row r="69" spans="1:8" ht="12" customHeight="1" x14ac:dyDescent="0.2">
      <c r="B69" s="58"/>
      <c r="C69" s="58"/>
      <c r="D69" s="162">
        <v>2018</v>
      </c>
      <c r="E69" s="167">
        <f>SUM(F69:G69)</f>
        <v>142</v>
      </c>
      <c r="F69" s="167">
        <v>20</v>
      </c>
      <c r="G69" s="164">
        <v>122</v>
      </c>
    </row>
    <row r="70" spans="1:8" ht="6.95" customHeight="1" x14ac:dyDescent="0.2">
      <c r="B70" s="58"/>
      <c r="C70" s="58"/>
      <c r="D70" s="162"/>
      <c r="E70" s="167"/>
      <c r="F70" s="167"/>
      <c r="G70" s="167"/>
    </row>
    <row r="71" spans="1:8" ht="12" customHeight="1" x14ac:dyDescent="0.2">
      <c r="B71" s="58" t="s">
        <v>77</v>
      </c>
      <c r="C71" s="58"/>
      <c r="D71" s="162">
        <v>2016</v>
      </c>
      <c r="E71" s="167">
        <f t="shared" ref="E71" si="15">SUM(F71:G71)</f>
        <v>201</v>
      </c>
      <c r="F71" s="167">
        <v>61</v>
      </c>
      <c r="G71" s="167">
        <v>140</v>
      </c>
    </row>
    <row r="72" spans="1:8" ht="12" customHeight="1" x14ac:dyDescent="0.2">
      <c r="B72" s="58"/>
      <c r="C72" s="58"/>
      <c r="D72" s="162">
        <v>2017</v>
      </c>
      <c r="E72" s="167">
        <f t="shared" ref="E72:E73" si="16">SUM(F72:G72)</f>
        <v>183</v>
      </c>
      <c r="F72" s="167">
        <v>50</v>
      </c>
      <c r="G72" s="167">
        <v>133</v>
      </c>
    </row>
    <row r="73" spans="1:8" ht="12" customHeight="1" x14ac:dyDescent="0.2">
      <c r="B73" s="58"/>
      <c r="C73" s="58"/>
      <c r="D73" s="162">
        <v>2017</v>
      </c>
      <c r="E73" s="167">
        <f t="shared" si="16"/>
        <v>187</v>
      </c>
      <c r="F73" s="167">
        <v>49</v>
      </c>
      <c r="G73" s="167">
        <v>138</v>
      </c>
    </row>
    <row r="74" spans="1:8" ht="6.95" customHeight="1" thickBot="1" x14ac:dyDescent="0.25">
      <c r="A74" s="34"/>
      <c r="B74" s="60"/>
      <c r="C74" s="60"/>
      <c r="D74" s="60"/>
      <c r="E74" s="73"/>
      <c r="F74" s="61"/>
      <c r="G74" s="61"/>
      <c r="H74" s="34"/>
    </row>
    <row r="75" spans="1:8" x14ac:dyDescent="0.25">
      <c r="G75" s="8" t="s">
        <v>101</v>
      </c>
    </row>
    <row r="76" spans="1:8" x14ac:dyDescent="0.25">
      <c r="G76" s="41" t="s">
        <v>1</v>
      </c>
    </row>
  </sheetData>
  <mergeCells count="7">
    <mergeCell ref="C6:G6"/>
    <mergeCell ref="E10:G10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topLeftCell="A12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1.7109375" style="30" customWidth="1"/>
    <col min="2" max="2" width="11.28515625" style="27" customWidth="1"/>
    <col min="3" max="3" width="16.85546875" style="27" customWidth="1"/>
    <col min="4" max="4" width="10.85546875" style="27" customWidth="1"/>
    <col min="5" max="5" width="15.7109375" style="28" customWidth="1"/>
    <col min="6" max="7" width="23.7109375" style="29" customWidth="1"/>
    <col min="8" max="8" width="0.85546875" style="30" customWidth="1"/>
    <col min="9" max="16384" width="9.140625" style="30"/>
  </cols>
  <sheetData>
    <row r="1" spans="1:8" ht="12" customHeight="1" x14ac:dyDescent="0.25">
      <c r="G1" s="171" t="s">
        <v>182</v>
      </c>
    </row>
    <row r="2" spans="1:8" ht="12" customHeight="1" x14ac:dyDescent="0.25">
      <c r="G2" s="172" t="s">
        <v>183</v>
      </c>
    </row>
    <row r="3" spans="1:8" ht="12" customHeight="1" x14ac:dyDescent="0.25">
      <c r="G3" s="71"/>
    </row>
    <row r="4" spans="1:8" ht="12" customHeight="1" x14ac:dyDescent="0.25">
      <c r="G4" s="71"/>
    </row>
    <row r="5" spans="1:8" s="53" customFormat="1" ht="15" customHeight="1" x14ac:dyDescent="0.2">
      <c r="B5" s="66" t="s">
        <v>190</v>
      </c>
      <c r="C5" s="67" t="s">
        <v>220</v>
      </c>
      <c r="D5" s="67"/>
      <c r="E5" s="66"/>
      <c r="F5" s="67"/>
      <c r="G5" s="173"/>
      <c r="H5" s="67"/>
    </row>
    <row r="6" spans="1:8" s="68" customFormat="1" ht="15" customHeight="1" x14ac:dyDescent="0.2">
      <c r="B6" s="69" t="s">
        <v>191</v>
      </c>
      <c r="C6" s="456" t="s">
        <v>228</v>
      </c>
      <c r="D6" s="456"/>
      <c r="E6" s="456"/>
      <c r="F6" s="456"/>
      <c r="G6" s="456"/>
      <c r="H6" s="70"/>
    </row>
    <row r="7" spans="1:8" s="2" customFormat="1" ht="9.9499999999999993" customHeight="1" thickBot="1" x14ac:dyDescent="0.3">
      <c r="B7" s="3"/>
      <c r="C7" s="3"/>
      <c r="D7" s="3"/>
      <c r="E7" s="21"/>
      <c r="F7" s="22"/>
      <c r="G7" s="22"/>
    </row>
    <row r="8" spans="1:8" s="53" customFormat="1" ht="20.100000000000001" customHeight="1" thickTop="1" x14ac:dyDescent="0.2">
      <c r="A8" s="346"/>
      <c r="B8" s="463" t="s">
        <v>231</v>
      </c>
      <c r="C8" s="463"/>
      <c r="D8" s="457" t="s">
        <v>98</v>
      </c>
      <c r="E8" s="457" t="s">
        <v>94</v>
      </c>
      <c r="F8" s="459" t="s">
        <v>95</v>
      </c>
      <c r="G8" s="459" t="s">
        <v>96</v>
      </c>
      <c r="H8" s="347"/>
    </row>
    <row r="9" spans="1:8" s="53" customFormat="1" ht="33" customHeight="1" x14ac:dyDescent="0.2">
      <c r="A9" s="348"/>
      <c r="B9" s="464"/>
      <c r="C9" s="464"/>
      <c r="D9" s="458"/>
      <c r="E9" s="458"/>
      <c r="F9" s="460"/>
      <c r="G9" s="460"/>
      <c r="H9" s="344"/>
    </row>
    <row r="10" spans="1:8" s="53" customFormat="1" ht="8.1" customHeight="1" x14ac:dyDescent="0.2">
      <c r="A10" s="89"/>
      <c r="B10" s="90"/>
      <c r="C10" s="90"/>
      <c r="D10" s="91"/>
      <c r="E10" s="91"/>
      <c r="F10" s="92"/>
      <c r="G10" s="92"/>
      <c r="H10" s="93"/>
    </row>
    <row r="11" spans="1:8" s="31" customFormat="1" ht="15.95" customHeight="1" x14ac:dyDescent="0.25">
      <c r="A11" s="84"/>
      <c r="B11" s="127" t="s">
        <v>49</v>
      </c>
      <c r="C11" s="127"/>
      <c r="D11" s="124">
        <v>2016</v>
      </c>
      <c r="E11" s="166">
        <f>E15+E19+E23</f>
        <v>655</v>
      </c>
      <c r="F11" s="166">
        <v>109</v>
      </c>
      <c r="G11" s="166">
        <v>546</v>
      </c>
    </row>
    <row r="12" spans="1:8" s="31" customFormat="1" ht="15.95" customHeight="1" x14ac:dyDescent="0.25">
      <c r="A12" s="84"/>
      <c r="B12" s="127"/>
      <c r="C12" s="127"/>
      <c r="D12" s="124">
        <v>2017</v>
      </c>
      <c r="E12" s="166">
        <f t="shared" ref="E12" si="0">E16+E20+E24</f>
        <v>603</v>
      </c>
      <c r="F12" s="166">
        <v>132</v>
      </c>
      <c r="G12" s="166">
        <v>471</v>
      </c>
    </row>
    <row r="13" spans="1:8" s="31" customFormat="1" ht="15.95" customHeight="1" x14ac:dyDescent="0.25">
      <c r="A13" s="84"/>
      <c r="B13" s="127"/>
      <c r="C13" s="127"/>
      <c r="D13" s="124">
        <v>2018</v>
      </c>
      <c r="E13" s="166">
        <f>F13+G13</f>
        <v>563</v>
      </c>
      <c r="F13" s="166">
        <v>126</v>
      </c>
      <c r="G13" s="166">
        <v>437</v>
      </c>
    </row>
    <row r="14" spans="1:8" s="31" customFormat="1" ht="8.1" customHeight="1" x14ac:dyDescent="0.25">
      <c r="B14" s="39"/>
      <c r="C14" s="40"/>
      <c r="D14" s="40"/>
      <c r="E14" s="9"/>
      <c r="F14" s="11"/>
      <c r="G14" s="10"/>
    </row>
    <row r="15" spans="1:8" s="31" customFormat="1" ht="15.95" customHeight="1" x14ac:dyDescent="0.25">
      <c r="A15" s="84"/>
      <c r="B15" s="85" t="s">
        <v>78</v>
      </c>
      <c r="C15" s="85"/>
      <c r="D15" s="169">
        <v>2016</v>
      </c>
      <c r="E15" s="167">
        <f>SUM(F15:G15)</f>
        <v>154</v>
      </c>
      <c r="F15" s="165">
        <v>34</v>
      </c>
      <c r="G15" s="167">
        <v>120</v>
      </c>
    </row>
    <row r="16" spans="1:8" s="31" customFormat="1" ht="15.95" customHeight="1" x14ac:dyDescent="0.25">
      <c r="A16" s="84"/>
      <c r="B16" s="85"/>
      <c r="C16" s="85"/>
      <c r="D16" s="169">
        <v>2017</v>
      </c>
      <c r="E16" s="167">
        <f t="shared" ref="E16:E17" si="1">SUM(F16:G16)</f>
        <v>135</v>
      </c>
      <c r="F16" s="165">
        <v>37</v>
      </c>
      <c r="G16" s="167">
        <v>98</v>
      </c>
    </row>
    <row r="17" spans="1:8" s="31" customFormat="1" ht="15.95" customHeight="1" x14ac:dyDescent="0.25">
      <c r="A17" s="84"/>
      <c r="B17" s="85"/>
      <c r="C17" s="85"/>
      <c r="D17" s="169">
        <v>2018</v>
      </c>
      <c r="E17" s="167">
        <f t="shared" si="1"/>
        <v>142</v>
      </c>
      <c r="F17" s="165">
        <v>34</v>
      </c>
      <c r="G17" s="167">
        <v>108</v>
      </c>
    </row>
    <row r="18" spans="1:8" s="31" customFormat="1" ht="8.1" customHeight="1" x14ac:dyDescent="0.25">
      <c r="A18" s="84"/>
      <c r="B18" s="85"/>
      <c r="C18" s="85"/>
      <c r="D18" s="169"/>
      <c r="E18" s="167"/>
      <c r="F18" s="165"/>
      <c r="G18" s="167"/>
    </row>
    <row r="19" spans="1:8" s="31" customFormat="1" ht="15.95" customHeight="1" x14ac:dyDescent="0.25">
      <c r="A19" s="84"/>
      <c r="B19" s="85" t="s">
        <v>79</v>
      </c>
      <c r="C19" s="85"/>
      <c r="D19" s="169">
        <v>2016</v>
      </c>
      <c r="E19" s="167">
        <f>SUM(F19:G19)</f>
        <v>414</v>
      </c>
      <c r="F19" s="167">
        <v>53</v>
      </c>
      <c r="G19" s="167">
        <v>361</v>
      </c>
    </row>
    <row r="20" spans="1:8" s="31" customFormat="1" ht="15.95" customHeight="1" x14ac:dyDescent="0.25">
      <c r="A20" s="84"/>
      <c r="B20" s="85"/>
      <c r="C20" s="85"/>
      <c r="D20" s="169">
        <v>2017</v>
      </c>
      <c r="E20" s="167">
        <f t="shared" ref="E20:E21" si="2">SUM(F20:G20)</f>
        <v>361</v>
      </c>
      <c r="F20" s="165">
        <v>64</v>
      </c>
      <c r="G20" s="167">
        <v>297</v>
      </c>
    </row>
    <row r="21" spans="1:8" s="31" customFormat="1" ht="15.95" customHeight="1" x14ac:dyDescent="0.25">
      <c r="A21" s="84"/>
      <c r="B21" s="85"/>
      <c r="C21" s="85"/>
      <c r="D21" s="169">
        <v>2018</v>
      </c>
      <c r="E21" s="167">
        <f t="shared" si="2"/>
        <v>346</v>
      </c>
      <c r="F21" s="167">
        <v>79</v>
      </c>
      <c r="G21" s="167">
        <v>267</v>
      </c>
    </row>
    <row r="22" spans="1:8" s="31" customFormat="1" ht="8.1" customHeight="1" x14ac:dyDescent="0.25">
      <c r="A22" s="84"/>
      <c r="B22" s="85"/>
      <c r="C22" s="85"/>
      <c r="D22" s="169"/>
      <c r="E22" s="167"/>
      <c r="F22" s="165"/>
      <c r="G22" s="167"/>
    </row>
    <row r="23" spans="1:8" s="31" customFormat="1" ht="15.95" customHeight="1" x14ac:dyDescent="0.25">
      <c r="A23" s="84"/>
      <c r="B23" s="85" t="s">
        <v>80</v>
      </c>
      <c r="C23" s="85"/>
      <c r="D23" s="169">
        <v>2016</v>
      </c>
      <c r="E23" s="167">
        <f>SUM(F23:G23)</f>
        <v>87</v>
      </c>
      <c r="F23" s="165">
        <v>22</v>
      </c>
      <c r="G23" s="167">
        <v>65</v>
      </c>
    </row>
    <row r="24" spans="1:8" s="31" customFormat="1" ht="15.95" customHeight="1" x14ac:dyDescent="0.25">
      <c r="A24" s="84"/>
      <c r="B24" s="85"/>
      <c r="C24" s="85"/>
      <c r="D24" s="169">
        <v>2017</v>
      </c>
      <c r="E24" s="167">
        <f t="shared" ref="E24:E25" si="3">SUM(F24:G24)</f>
        <v>107</v>
      </c>
      <c r="F24" s="165">
        <v>31</v>
      </c>
      <c r="G24" s="167">
        <v>76</v>
      </c>
    </row>
    <row r="25" spans="1:8" s="31" customFormat="1" ht="15.95" customHeight="1" x14ac:dyDescent="0.25">
      <c r="A25" s="84"/>
      <c r="B25" s="85"/>
      <c r="C25" s="85"/>
      <c r="D25" s="169">
        <v>2018</v>
      </c>
      <c r="E25" s="167">
        <f t="shared" si="3"/>
        <v>75</v>
      </c>
      <c r="F25" s="165">
        <v>13</v>
      </c>
      <c r="G25" s="167">
        <v>62</v>
      </c>
    </row>
    <row r="26" spans="1:8" s="31" customFormat="1" ht="8.1" customHeight="1" x14ac:dyDescent="0.25">
      <c r="A26" s="49"/>
      <c r="B26" s="20"/>
      <c r="C26" s="20"/>
      <c r="D26" s="137"/>
      <c r="E26" s="17"/>
      <c r="F26" s="23"/>
      <c r="G26" s="17"/>
    </row>
    <row r="27" spans="1:8" s="31" customFormat="1" ht="8.1" customHeight="1" x14ac:dyDescent="0.25">
      <c r="A27" s="38"/>
      <c r="B27" s="14"/>
      <c r="C27" s="14"/>
      <c r="D27" s="138"/>
      <c r="E27" s="10"/>
      <c r="F27" s="11"/>
      <c r="G27" s="10"/>
      <c r="H27" s="36"/>
    </row>
    <row r="28" spans="1:8" s="31" customFormat="1" ht="15.95" customHeight="1" x14ac:dyDescent="0.2">
      <c r="A28" s="38"/>
      <c r="B28" s="114" t="s">
        <v>50</v>
      </c>
      <c r="C28" s="127"/>
      <c r="D28" s="124">
        <v>2016</v>
      </c>
      <c r="E28" s="166">
        <f>SUM(F28:G28)</f>
        <v>6116</v>
      </c>
      <c r="F28" s="128">
        <f t="shared" ref="F28:F29" si="4">SUM(F32,F36,F40,F44,F48)</f>
        <v>1038</v>
      </c>
      <c r="G28" s="128">
        <v>5078</v>
      </c>
      <c r="H28" s="38"/>
    </row>
    <row r="29" spans="1:8" s="31" customFormat="1" ht="15.95" customHeight="1" x14ac:dyDescent="0.2">
      <c r="A29" s="38"/>
      <c r="B29" s="114"/>
      <c r="C29" s="127"/>
      <c r="D29" s="124">
        <v>2017</v>
      </c>
      <c r="E29" s="166">
        <f t="shared" ref="E29" si="5">SUM(F29:G29)</f>
        <v>5551</v>
      </c>
      <c r="F29" s="128">
        <f t="shared" si="4"/>
        <v>1078</v>
      </c>
      <c r="G29" s="128">
        <v>4473</v>
      </c>
      <c r="H29" s="38"/>
    </row>
    <row r="30" spans="1:8" s="31" customFormat="1" ht="15.95" customHeight="1" x14ac:dyDescent="0.2">
      <c r="A30" s="38"/>
      <c r="B30" s="114"/>
      <c r="C30" s="127"/>
      <c r="D30" s="124">
        <v>2018</v>
      </c>
      <c r="E30" s="166">
        <f>SUM(F30:G30)</f>
        <v>5017</v>
      </c>
      <c r="F30" s="128">
        <f>SUM(F34,F38,F42,F46,F50)</f>
        <v>890</v>
      </c>
      <c r="G30" s="128">
        <v>4127</v>
      </c>
      <c r="H30" s="38"/>
    </row>
    <row r="31" spans="1:8" ht="8.1" customHeight="1" x14ac:dyDescent="0.25">
      <c r="A31" s="37"/>
      <c r="B31" s="39"/>
      <c r="C31" s="39"/>
      <c r="D31" s="43"/>
      <c r="E31" s="10"/>
      <c r="F31" s="9"/>
      <c r="G31" s="9"/>
      <c r="H31" s="37"/>
    </row>
    <row r="32" spans="1:8" s="31" customFormat="1" ht="15.95" customHeight="1" x14ac:dyDescent="0.2">
      <c r="A32" s="38"/>
      <c r="B32" s="86" t="s">
        <v>87</v>
      </c>
      <c r="C32" s="85"/>
      <c r="D32" s="169">
        <v>2016</v>
      </c>
      <c r="E32" s="167">
        <f>SUM(F32:G32)</f>
        <v>538</v>
      </c>
      <c r="F32" s="167">
        <v>90</v>
      </c>
      <c r="G32" s="167">
        <v>448</v>
      </c>
      <c r="H32" s="38"/>
    </row>
    <row r="33" spans="1:8" s="31" customFormat="1" ht="15.95" customHeight="1" x14ac:dyDescent="0.2">
      <c r="A33" s="38"/>
      <c r="B33" s="86"/>
      <c r="C33" s="85"/>
      <c r="D33" s="169">
        <v>2017</v>
      </c>
      <c r="E33" s="167">
        <f t="shared" ref="E33:E34" si="6">SUM(F33:G33)</f>
        <v>521</v>
      </c>
      <c r="F33" s="167">
        <v>89</v>
      </c>
      <c r="G33" s="167">
        <v>432</v>
      </c>
      <c r="H33" s="38"/>
    </row>
    <row r="34" spans="1:8" s="31" customFormat="1" ht="15.95" customHeight="1" x14ac:dyDescent="0.2">
      <c r="A34" s="38"/>
      <c r="B34" s="86"/>
      <c r="C34" s="85"/>
      <c r="D34" s="169">
        <v>2018</v>
      </c>
      <c r="E34" s="167">
        <f t="shared" si="6"/>
        <v>491</v>
      </c>
      <c r="F34" s="163">
        <v>64</v>
      </c>
      <c r="G34" s="163">
        <v>427</v>
      </c>
      <c r="H34" s="38"/>
    </row>
    <row r="35" spans="1:8" s="31" customFormat="1" ht="8.1" customHeight="1" x14ac:dyDescent="0.2">
      <c r="A35" s="38"/>
      <c r="B35" s="87"/>
      <c r="C35" s="85"/>
      <c r="D35" s="162"/>
      <c r="E35" s="163"/>
      <c r="F35" s="163"/>
      <c r="G35" s="163"/>
      <c r="H35" s="38"/>
    </row>
    <row r="36" spans="1:8" s="31" customFormat="1" ht="15.95" customHeight="1" x14ac:dyDescent="0.2">
      <c r="A36" s="38"/>
      <c r="B36" s="86" t="s">
        <v>88</v>
      </c>
      <c r="C36" s="85"/>
      <c r="D36" s="169">
        <v>2016</v>
      </c>
      <c r="E36" s="167">
        <f>SUM(F36:G36)</f>
        <v>505</v>
      </c>
      <c r="F36" s="167">
        <v>135</v>
      </c>
      <c r="G36" s="167">
        <v>370</v>
      </c>
      <c r="H36" s="38"/>
    </row>
    <row r="37" spans="1:8" s="31" customFormat="1" ht="15.95" customHeight="1" x14ac:dyDescent="0.2">
      <c r="A37" s="38"/>
      <c r="B37" s="86"/>
      <c r="C37" s="85"/>
      <c r="D37" s="169">
        <v>2017</v>
      </c>
      <c r="E37" s="167">
        <f t="shared" ref="E37:E38" si="7">SUM(F37:G37)</f>
        <v>473</v>
      </c>
      <c r="F37" s="167">
        <v>138</v>
      </c>
      <c r="G37" s="167">
        <v>335</v>
      </c>
      <c r="H37" s="38"/>
    </row>
    <row r="38" spans="1:8" ht="15.95" customHeight="1" x14ac:dyDescent="0.2">
      <c r="B38" s="86"/>
      <c r="C38" s="88"/>
      <c r="D38" s="169">
        <v>2018</v>
      </c>
      <c r="E38" s="167">
        <f t="shared" si="7"/>
        <v>416</v>
      </c>
      <c r="F38" s="163">
        <v>125</v>
      </c>
      <c r="G38" s="163">
        <v>291</v>
      </c>
    </row>
    <row r="39" spans="1:8" ht="8.1" customHeight="1" x14ac:dyDescent="0.25">
      <c r="B39" s="87"/>
      <c r="C39" s="88"/>
      <c r="D39" s="170"/>
      <c r="E39" s="167"/>
      <c r="F39" s="167"/>
      <c r="G39" s="167"/>
    </row>
    <row r="40" spans="1:8" ht="15.95" customHeight="1" x14ac:dyDescent="0.2">
      <c r="B40" s="86" t="s">
        <v>89</v>
      </c>
      <c r="C40" s="88"/>
      <c r="D40" s="169">
        <v>2016</v>
      </c>
      <c r="E40" s="167">
        <f>SUM(F40:G40)</f>
        <v>2210</v>
      </c>
      <c r="F40" s="167">
        <v>338</v>
      </c>
      <c r="G40" s="167">
        <v>1872</v>
      </c>
    </row>
    <row r="41" spans="1:8" ht="15.95" customHeight="1" x14ac:dyDescent="0.2">
      <c r="B41" s="86"/>
      <c r="C41" s="88"/>
      <c r="D41" s="169">
        <v>2017</v>
      </c>
      <c r="E41" s="167">
        <f t="shared" ref="E41:E42" si="8">SUM(F41:G41)</f>
        <v>1903</v>
      </c>
      <c r="F41" s="167">
        <v>322</v>
      </c>
      <c r="G41" s="167">
        <v>1581</v>
      </c>
    </row>
    <row r="42" spans="1:8" ht="15.95" customHeight="1" x14ac:dyDescent="0.2">
      <c r="B42" s="86"/>
      <c r="C42" s="88"/>
      <c r="D42" s="169">
        <v>2018</v>
      </c>
      <c r="E42" s="167">
        <f t="shared" si="8"/>
        <v>1744</v>
      </c>
      <c r="F42" s="163">
        <v>268</v>
      </c>
      <c r="G42" s="163">
        <v>1476</v>
      </c>
    </row>
    <row r="43" spans="1:8" ht="8.1" customHeight="1" x14ac:dyDescent="0.25">
      <c r="B43" s="87"/>
      <c r="C43" s="88"/>
      <c r="D43" s="170"/>
      <c r="E43" s="167"/>
      <c r="F43" s="167"/>
      <c r="G43" s="167"/>
    </row>
    <row r="44" spans="1:8" ht="15.95" customHeight="1" x14ac:dyDescent="0.2">
      <c r="B44" s="86" t="s">
        <v>90</v>
      </c>
      <c r="C44" s="88"/>
      <c r="D44" s="169">
        <v>2016</v>
      </c>
      <c r="E44" s="167">
        <f>SUM(F44:G44)</f>
        <v>1154</v>
      </c>
      <c r="F44" s="167">
        <v>166</v>
      </c>
      <c r="G44" s="167">
        <v>988</v>
      </c>
    </row>
    <row r="45" spans="1:8" ht="15.95" customHeight="1" x14ac:dyDescent="0.2">
      <c r="B45" s="86"/>
      <c r="C45" s="88"/>
      <c r="D45" s="169">
        <v>2017</v>
      </c>
      <c r="E45" s="167">
        <f t="shared" ref="E45:E46" si="9">SUM(F45:G45)</f>
        <v>1107</v>
      </c>
      <c r="F45" s="167">
        <v>159</v>
      </c>
      <c r="G45" s="167">
        <v>948</v>
      </c>
    </row>
    <row r="46" spans="1:8" ht="15.95" customHeight="1" x14ac:dyDescent="0.2">
      <c r="B46" s="86"/>
      <c r="C46" s="88"/>
      <c r="D46" s="169">
        <v>2018</v>
      </c>
      <c r="E46" s="167">
        <f t="shared" si="9"/>
        <v>1003</v>
      </c>
      <c r="F46" s="163">
        <v>150</v>
      </c>
      <c r="G46" s="163">
        <v>853</v>
      </c>
    </row>
    <row r="47" spans="1:8" ht="8.1" customHeight="1" x14ac:dyDescent="0.25">
      <c r="B47" s="87"/>
      <c r="C47" s="88"/>
      <c r="D47" s="170"/>
      <c r="E47" s="167"/>
      <c r="F47" s="167"/>
      <c r="G47" s="167"/>
    </row>
    <row r="48" spans="1:8" ht="15.95" customHeight="1" x14ac:dyDescent="0.2">
      <c r="B48" s="86" t="s">
        <v>91</v>
      </c>
      <c r="C48" s="88"/>
      <c r="D48" s="170">
        <v>2016</v>
      </c>
      <c r="E48" s="167">
        <f>SUM(F48:G48)</f>
        <v>1709</v>
      </c>
      <c r="F48" s="167">
        <v>309</v>
      </c>
      <c r="G48" s="167">
        <v>1400</v>
      </c>
    </row>
    <row r="49" spans="1:7" ht="15.95" customHeight="1" x14ac:dyDescent="0.2">
      <c r="B49" s="86"/>
      <c r="C49" s="88"/>
      <c r="D49" s="169">
        <v>2017</v>
      </c>
      <c r="E49" s="167">
        <f t="shared" ref="E49:E50" si="10">SUM(F49:G49)</f>
        <v>1547</v>
      </c>
      <c r="F49" s="167">
        <v>370</v>
      </c>
      <c r="G49" s="167">
        <v>1177</v>
      </c>
    </row>
    <row r="50" spans="1:7" ht="15.95" customHeight="1" x14ac:dyDescent="0.2">
      <c r="B50" s="86"/>
      <c r="C50" s="88"/>
      <c r="D50" s="169">
        <v>2018</v>
      </c>
      <c r="E50" s="167">
        <f t="shared" si="10"/>
        <v>1363</v>
      </c>
      <c r="F50" s="167">
        <v>283</v>
      </c>
      <c r="G50" s="167">
        <v>1080</v>
      </c>
    </row>
    <row r="51" spans="1:7" ht="8.1" customHeight="1" thickBot="1" x14ac:dyDescent="0.3">
      <c r="A51" s="50"/>
      <c r="B51" s="51"/>
      <c r="C51" s="32"/>
      <c r="D51" s="132"/>
      <c r="E51" s="26"/>
      <c r="F51" s="12"/>
      <c r="G51" s="12"/>
    </row>
    <row r="52" spans="1:7" s="2" customFormat="1" x14ac:dyDescent="0.25">
      <c r="B52" s="3"/>
      <c r="C52" s="3"/>
      <c r="D52" s="133"/>
      <c r="E52" s="21"/>
      <c r="F52" s="22"/>
      <c r="G52" s="8" t="s">
        <v>101</v>
      </c>
    </row>
    <row r="53" spans="1:7" s="2" customFormat="1" x14ac:dyDescent="0.25">
      <c r="B53" s="3"/>
      <c r="C53" s="3"/>
      <c r="D53" s="133"/>
      <c r="E53" s="21"/>
      <c r="F53" s="22"/>
      <c r="G53" s="25" t="s">
        <v>1</v>
      </c>
    </row>
    <row r="54" spans="1:7" s="2" customFormat="1" x14ac:dyDescent="0.25">
      <c r="B54" s="3"/>
      <c r="C54" s="3"/>
      <c r="D54" s="133"/>
      <c r="E54" s="21"/>
      <c r="F54" s="22"/>
      <c r="G54" s="22"/>
    </row>
    <row r="55" spans="1:7" s="2" customFormat="1" x14ac:dyDescent="0.25">
      <c r="B55" s="38"/>
      <c r="C55" s="43"/>
      <c r="D55" s="43"/>
      <c r="E55" s="21"/>
      <c r="F55" s="22"/>
      <c r="G55" s="22"/>
    </row>
    <row r="56" spans="1:7" s="2" customFormat="1" x14ac:dyDescent="0.25">
      <c r="B56" s="44"/>
      <c r="C56" s="43"/>
      <c r="D56" s="43"/>
      <c r="E56" s="21"/>
      <c r="F56" s="22"/>
      <c r="G56" s="22"/>
    </row>
    <row r="57" spans="1:7" x14ac:dyDescent="0.25">
      <c r="D57" s="139"/>
    </row>
    <row r="58" spans="1:7" x14ac:dyDescent="0.25">
      <c r="D58" s="139"/>
    </row>
    <row r="59" spans="1:7" x14ac:dyDescent="0.25">
      <c r="D59" s="139"/>
    </row>
    <row r="60" spans="1:7" x14ac:dyDescent="0.25">
      <c r="D60" s="139"/>
    </row>
    <row r="61" spans="1:7" x14ac:dyDescent="0.25">
      <c r="D61" s="139"/>
    </row>
    <row r="62" spans="1:7" x14ac:dyDescent="0.25">
      <c r="D62" s="139"/>
    </row>
    <row r="63" spans="1:7" x14ac:dyDescent="0.25">
      <c r="D63" s="139"/>
    </row>
    <row r="64" spans="1:7" x14ac:dyDescent="0.25">
      <c r="D64" s="139"/>
    </row>
    <row r="65" spans="4:4" x14ac:dyDescent="0.25">
      <c r="D65" s="139"/>
    </row>
    <row r="66" spans="4:4" x14ac:dyDescent="0.25">
      <c r="D66" s="139"/>
    </row>
    <row r="67" spans="4:4" x14ac:dyDescent="0.25">
      <c r="D67" s="139"/>
    </row>
    <row r="68" spans="4:4" x14ac:dyDescent="0.25">
      <c r="D68" s="139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17</vt:i4>
      </vt:variant>
    </vt:vector>
  </HeadingPairs>
  <TitlesOfParts>
    <vt:vector size="66" baseType="lpstr">
      <vt:lpstr> 1.1</vt:lpstr>
      <vt:lpstr> 1.2</vt:lpstr>
      <vt:lpstr>1.3Joh</vt:lpstr>
      <vt:lpstr>1.3Ked</vt:lpstr>
      <vt:lpstr>1.3Kel</vt:lpstr>
      <vt:lpstr>1.3Mel &amp; N9</vt:lpstr>
      <vt:lpstr>1.3Phg</vt:lpstr>
      <vt:lpstr>1.3Prk</vt:lpstr>
      <vt:lpstr>1.3Pls_PP</vt:lpstr>
      <vt:lpstr>1.3Sbh</vt:lpstr>
      <vt:lpstr>1.3Sbh (2)</vt:lpstr>
      <vt:lpstr>1.3Swk</vt:lpstr>
      <vt:lpstr>1.3Swk (2)</vt:lpstr>
      <vt:lpstr>1.3Swk (3)</vt:lpstr>
      <vt:lpstr>1.3Sel</vt:lpstr>
      <vt:lpstr>1.3Trg</vt:lpstr>
      <vt:lpstr>1.3WPKL</vt:lpstr>
      <vt:lpstr>1.4</vt:lpstr>
      <vt:lpstr>1.5Johor</vt:lpstr>
      <vt:lpstr>1.5Kedah</vt:lpstr>
      <vt:lpstr>1.5Kelantan</vt:lpstr>
      <vt:lpstr>1.5Melaka</vt:lpstr>
      <vt:lpstr>1.5Pahang</vt:lpstr>
      <vt:lpstr>1.5Perak</vt:lpstr>
      <vt:lpstr>1.5Perlis</vt:lpstr>
      <vt:lpstr>1.5Sabah</vt:lpstr>
      <vt:lpstr>1.5Sabah (2)</vt:lpstr>
      <vt:lpstr>1.5Sarawak</vt:lpstr>
      <vt:lpstr>1.5Sarawak (2)</vt:lpstr>
      <vt:lpstr>1.5Sarawak (3)</vt:lpstr>
      <vt:lpstr>1.5Selangor</vt:lpstr>
      <vt:lpstr>1.5Terengganu</vt:lpstr>
      <vt:lpstr>1.5W.P. KL</vt:lpstr>
      <vt:lpstr>1.6</vt:lpstr>
      <vt:lpstr>1.7Johor</vt:lpstr>
      <vt:lpstr>1.7Kedah</vt:lpstr>
      <vt:lpstr>1.7Kelantan</vt:lpstr>
      <vt:lpstr>1.7Melaka &amp; N9 </vt:lpstr>
      <vt:lpstr>1.7Pahang</vt:lpstr>
      <vt:lpstr>1.7Perak</vt:lpstr>
      <vt:lpstr>1.7Perlis &amp; PP </vt:lpstr>
      <vt:lpstr>1.7Sabah</vt:lpstr>
      <vt:lpstr>1.7Sabah (2)</vt:lpstr>
      <vt:lpstr>1.7Sarawak</vt:lpstr>
      <vt:lpstr>1.7Sarawak (2)</vt:lpstr>
      <vt:lpstr>1.7Sarawak (3)</vt:lpstr>
      <vt:lpstr>1.7Selangor</vt:lpstr>
      <vt:lpstr>1.7Terengganu</vt:lpstr>
      <vt:lpstr>1.7WPKL </vt:lpstr>
      <vt:lpstr>'1.3Joh'!Print_Area</vt:lpstr>
      <vt:lpstr>'1.3Ked'!Print_Area</vt:lpstr>
      <vt:lpstr>'1.3Kel'!Print_Area</vt:lpstr>
      <vt:lpstr>'1.3Mel &amp; N9'!Print_Area</vt:lpstr>
      <vt:lpstr>'1.3Phg'!Print_Area</vt:lpstr>
      <vt:lpstr>'1.3Pls_PP'!Print_Area</vt:lpstr>
      <vt:lpstr>'1.3Prk'!Print_Area</vt:lpstr>
      <vt:lpstr>'1.3Sel'!Print_Area</vt:lpstr>
      <vt:lpstr>'1.3Swk'!Print_Area</vt:lpstr>
      <vt:lpstr>'1.3Swk (2)'!Print_Area</vt:lpstr>
      <vt:lpstr>'1.3Swk (3)'!Print_Area</vt:lpstr>
      <vt:lpstr>'1.3Trg'!Print_Area</vt:lpstr>
      <vt:lpstr>'1.3WPKL'!Print_Area</vt:lpstr>
      <vt:lpstr>'1.5Melaka'!Print_Area</vt:lpstr>
      <vt:lpstr>'1.7Kedah'!Print_Area</vt:lpstr>
      <vt:lpstr>'1.7Perak'!Print_Area</vt:lpstr>
      <vt:lpstr>'1.7Sarawak'!Print_Area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2020-05-07T15:19:04Z</cp:lastPrinted>
  <dcterms:created xsi:type="dcterms:W3CDTF">2017-06-13T04:36:10Z</dcterms:created>
  <dcterms:modified xsi:type="dcterms:W3CDTF">2020-05-07T15:20:03Z</dcterms:modified>
</cp:coreProperties>
</file>